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08" activeTab="0"/>
  </bookViews>
  <sheets>
    <sheet name="додаток 6" sheetId="1" r:id="rId1"/>
  </sheets>
  <definedNames>
    <definedName name="_xlfn.AGGREGATE" hidden="1">#NAME?</definedName>
    <definedName name="_xlnm.Print_Titles" localSheetId="0">'додаток 6'!$4:$4</definedName>
    <definedName name="_xlnm.Print_Area" localSheetId="0">'додаток 6'!$A$1:$F$730</definedName>
  </definedNames>
  <calcPr fullCalcOnLoad="1"/>
</workbook>
</file>

<file path=xl/sharedStrings.xml><?xml version="1.0" encoding="utf-8"?>
<sst xmlns="http://schemas.openxmlformats.org/spreadsheetml/2006/main" count="811" uniqueCount="775">
  <si>
    <t>0600000</t>
  </si>
  <si>
    <t>0610000</t>
  </si>
  <si>
    <t>Внески в статутний капітал КНП "Другий Черкаський міський центр первинної медико-санітарної допомоги", в т.ч.:</t>
  </si>
  <si>
    <t>0700000</t>
  </si>
  <si>
    <t>0710000</t>
  </si>
  <si>
    <t>Департамент охорони здоров'я та медичних послуг</t>
  </si>
  <si>
    <t>Департамент освіти та гуманітарної політики</t>
  </si>
  <si>
    <t>0200000</t>
  </si>
  <si>
    <t>0210000</t>
  </si>
  <si>
    <t>Департамент управління справами та юридичного забезпечення ЧМР</t>
  </si>
  <si>
    <t>Код програмної класифікації видатків та кредитування місцевого бюджету</t>
  </si>
  <si>
    <t>Найменування об’єкта будівництва / вид будівельних робіт, у тому числі проектні роботи</t>
  </si>
  <si>
    <t>УСЬОГО</t>
  </si>
  <si>
    <t>Обсяг видатків бюджету розвитку, які спрямовуються на будівництво об'єкта у бюджетному періоді, гривень</t>
  </si>
  <si>
    <t>Розподіл коштів бюджету розвитку за об'єктами у 2020 році</t>
  </si>
  <si>
    <t>3700000</t>
  </si>
  <si>
    <t>Департамент фінансової політики</t>
  </si>
  <si>
    <t>3710000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</si>
  <si>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</si>
  <si>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3710160</t>
  </si>
  <si>
    <t>Керівництво і управління у відповідній сфері у містах (місті Києві), селищах, селах, об’єднаних територіальних громадах</t>
  </si>
  <si>
    <t>0210160</t>
  </si>
  <si>
    <t>0611010</t>
  </si>
  <si>
    <t>Надання дошкільної освіти</t>
  </si>
  <si>
    <t>0611020</t>
  </si>
  <si>
    <t>0611090</t>
  </si>
  <si>
    <t>0611100</t>
  </si>
  <si>
    <t>0611110</t>
  </si>
  <si>
    <t>Підготовка кадрів професійно-технічними закладами та іншими закладами освіти</t>
  </si>
  <si>
    <t>0611161</t>
  </si>
  <si>
    <t>Забезпечення діяльності інших закладів у сфері освіти</t>
  </si>
  <si>
    <t>0614030</t>
  </si>
  <si>
    <t>Забезпечення діяльності бібліотек</t>
  </si>
  <si>
    <t>0614082</t>
  </si>
  <si>
    <t>Інші заходи в галузі культури і мистецтва</t>
  </si>
  <si>
    <t>0615031</t>
  </si>
  <si>
    <t>Утримання та навчально-тренувальна робота комунальних дитячо-юнацьких спортивних шкіл</t>
  </si>
  <si>
    <t>0617321</t>
  </si>
  <si>
    <t>Будівництво освітніх установ та закладів</t>
  </si>
  <si>
    <t>0617324</t>
  </si>
  <si>
    <t>Будівництво установ та закладів культури</t>
  </si>
  <si>
    <t>0617325</t>
  </si>
  <si>
    <t>Будівництво споруд, установ та закладів фізичної культури і спорту</t>
  </si>
  <si>
    <t>0617363</t>
  </si>
  <si>
    <t>Виконання інвестиційних проектів в рамках здійснення заходів щодо соціально-економічного розвитку окремих територій</t>
  </si>
  <si>
    <t>0617670</t>
  </si>
  <si>
    <t>Внески до статутного капіталу суб`єктів господарювання</t>
  </si>
  <si>
    <t>Внески в статутний капітал  КП "Спортивний комплекс "Будівельник"", в т.ч.:</t>
  </si>
  <si>
    <t>0717670</t>
  </si>
  <si>
    <t>Внески до статутного капіталу суб’єктів господарювання</t>
  </si>
  <si>
    <t>Внески в статутний капітал КНП "Перший Черкаський міський центр первинної медико-санітарної допомоги", в т.ч.:</t>
  </si>
  <si>
    <t>Внески в статутний капітал КНП "Четвертий Черкаський міський центр первинної медико-санітарної допомоги", в т.ч.:</t>
  </si>
  <si>
    <t>Внески в статутний капітал  КНП "Черкаська міська РОП "Астра", в т.ч.:</t>
  </si>
  <si>
    <t>Внески в статутний капітал КНП "Перша Черкаська міська лікарня", в т.ч.:</t>
  </si>
  <si>
    <t>Внески в статутний капітал КНП "Третя Черкаська міська лікарня швидкої медичної допомоги", в т.ч.:</t>
  </si>
  <si>
    <t>0800000</t>
  </si>
  <si>
    <t>Департамент соціальної політики ЧМР</t>
  </si>
  <si>
    <t>0810000</t>
  </si>
  <si>
    <t>0810160</t>
  </si>
  <si>
    <t>0813104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</si>
  <si>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</si>
  <si>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1200000</t>
  </si>
  <si>
    <t>Департамент житлово-комунального комплексу</t>
  </si>
  <si>
    <t>1210000</t>
  </si>
  <si>
    <t>1210160</t>
  </si>
  <si>
    <t>1216011</t>
  </si>
  <si>
    <t>Експлуатація та технічне обслуговування житлового фонду</t>
  </si>
  <si>
    <t>Організація благоустрою населених пунктів</t>
  </si>
  <si>
    <t>1217310</t>
  </si>
  <si>
    <t>Будівництво об`єктів житлово-комунального господарства</t>
  </si>
  <si>
    <t>1217426</t>
  </si>
  <si>
    <t>1217461</t>
  </si>
  <si>
    <t>Утримання та розвиток автомобільних доріг та дорожньої інфраструктури за рахунок коштів місцевого бюджету</t>
  </si>
  <si>
    <t>1217670</t>
  </si>
  <si>
    <t>Внески в статутний капітал КП "Черкасиводоканал", в т.ч.:</t>
  </si>
  <si>
    <t>Внески в статутний капітал КП "Комбінат комунальних підприємств", в т.ч.:</t>
  </si>
  <si>
    <t>Внески в статутний капітал КП "Дирекція парків", в т.ч.:</t>
  </si>
  <si>
    <t>Внески в статутний капітал КП "ЧЕЛУАШ", в т.ч.:</t>
  </si>
  <si>
    <t xml:space="preserve"> Внески в статутний капітал  КП "Міськсвітло", в т.ч.:</t>
  </si>
  <si>
    <t>1219800</t>
  </si>
  <si>
    <t>1600000</t>
  </si>
  <si>
    <t>Департамент архітектури та містобудування</t>
  </si>
  <si>
    <t>1610000</t>
  </si>
  <si>
    <t>1610160</t>
  </si>
  <si>
    <t>1617310</t>
  </si>
  <si>
    <t>1617321</t>
  </si>
  <si>
    <t>1617325</t>
  </si>
  <si>
    <t>1617350</t>
  </si>
  <si>
    <t>Розроблення схем планування та забудови територій (містобудівної документації)</t>
  </si>
  <si>
    <t>1617370</t>
  </si>
  <si>
    <t>Реалізація інших заходів щодо соціально-економічного розвитку територій</t>
  </si>
  <si>
    <t>1617461</t>
  </si>
  <si>
    <t>1617650</t>
  </si>
  <si>
    <t>Проведення експертної грошової оцінки земельної ділянки чи права на неї</t>
  </si>
  <si>
    <t>1618312</t>
  </si>
  <si>
    <t>Утилізація відходів</t>
  </si>
  <si>
    <t>2300000</t>
  </si>
  <si>
    <t>Управління інформаційної політики ЧМР</t>
  </si>
  <si>
    <t>2310000</t>
  </si>
  <si>
    <t>2700000</t>
  </si>
  <si>
    <t>Департамент економіки та розвитку</t>
  </si>
  <si>
    <t>2710000</t>
  </si>
  <si>
    <t>2717670</t>
  </si>
  <si>
    <t>Внески в статутний капітал КП "Черкаські ринки", в т.ч.:</t>
  </si>
  <si>
    <t>3300000</t>
  </si>
  <si>
    <t>Управління з питань державної реєстрації ЧМР</t>
  </si>
  <si>
    <t>3310000</t>
  </si>
  <si>
    <t>3310160</t>
  </si>
  <si>
    <t>0813121</t>
  </si>
  <si>
    <t>Утримання та забезпечення діяльності центрів соціальних служб для сім’ї, дітей та молоді</t>
  </si>
  <si>
    <t>0813105</t>
  </si>
  <si>
    <t>Надання реабілітаційних послуг особам з інвалідністю та дітям з інвалідністю</t>
  </si>
  <si>
    <t>0900000</t>
  </si>
  <si>
    <t>0910000</t>
  </si>
  <si>
    <t>0910160</t>
  </si>
  <si>
    <t>Служба у справах дітей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</si>
  <si>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</si>
  <si>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Надання позашкільної освіти закладами позашкільної освіти, заходи із позашкільної роботи з дітьми</t>
  </si>
  <si>
    <t>Надання спеціальної освіти мистецькими школами</t>
  </si>
  <si>
    <t>Придбання обладнання для реєстрації транспортних засобів (програмно-апаратний комплекс)</t>
  </si>
  <si>
    <t>Капітальний ремонт приміщень адміністративної будівлі департаменту соціальної політики Черкаської міської ради за адресою: бул. Шевченка, 307</t>
  </si>
  <si>
    <t xml:space="preserve">Придбання кондиціонерів для територіального центру надання соціальних послуг м. Черкаси </t>
  </si>
  <si>
    <t>Капітальний ремонт приміщень  корпусу A′-ІІ адміністративної будівлі територіального центру надання соціальних послуг м. Черкаси, за адресою: вул. Гвардійська, 7/5</t>
  </si>
  <si>
    <t>Капітальний ремонт приміщення територіального центру надання соціальних послуг м. Черкаси за адресою: вул. Гвардійська, 7/5</t>
  </si>
  <si>
    <t>Капітальний ремонт (облаштування пандусами та перилами) будівлі Територіального центру надання соціальних послуг м. Черкаси, за адресою: вул. Гвардійська, 7/5 та вул. Пушкіна, 13А</t>
  </si>
  <si>
    <t>Капітальний ремонт адміністративної будівлі територіального центру надання соціальних послуг м. Черкаси (ремонт системи опалення, водопостачання і водовідведення) за адресою: вул. Пушкіна, 13 А</t>
  </si>
  <si>
    <t>Капітальний ремонт приміщення майнового комплексу за адресою вул. Благовісна, 170 (корпус И-4, монтаж системи вентиляції)</t>
  </si>
  <si>
    <t>Капітальний ремонт приміщення майнового комплексу за адресою вул.Благовісна, 170 (корпус Д-4, 4 поверх, спортивний зал)</t>
  </si>
  <si>
    <t>Реконструкція будівлі по вул. Кобзарській, 1 (для розміщення кризового центру для жінок - жертв насильства) в м. Черкаси</t>
  </si>
  <si>
    <t>Придбання обладнання для облаштування муніципальних ярмарків (торгівельних павільйонів, прилавків) по вул. Сумгаїтська поблизу будинку 69</t>
  </si>
  <si>
    <t>Капітальний ремонт території ярмарок та прилеглої території (укладання тротуарною плиткою) вул.Добровольського та бул. Шевченка  (частина площі 700-річчя)</t>
  </si>
  <si>
    <t>Капітальний ремонт території ринку (укладання тротуарною плиткою) по вул.Благовісна, між вул. Небесної Сотні та Смілянською</t>
  </si>
  <si>
    <t xml:space="preserve">Виготовлення, розроблення документації із землеустрою щодо відведення земельних ділянок для КП "Черкаські ринки" </t>
  </si>
  <si>
    <t>Придбання нематеріальних активів (web-сайт ДФП)</t>
  </si>
  <si>
    <t>Придбання обладнання і предметів довгострокового користування (комп'ютерна техніка, оргтехніка, стелажне обладнання, обладнання для центру обслуговування громадян)</t>
  </si>
  <si>
    <t>0817330</t>
  </si>
  <si>
    <t>Будівництво інших об'єктів комунальної власності</t>
  </si>
  <si>
    <t>0817323</t>
  </si>
  <si>
    <t>Будівництво установ та закладів соціальної сфери</t>
  </si>
  <si>
    <t>Капітальний ремонт будівлі КНП "Перша Черкаська міська лікарня" (неврологічне  відділення ) по вул. Дахнівська, 32 в м. Черкаси</t>
  </si>
  <si>
    <t xml:space="preserve">Капітальний ремонт території КНП «Друга Черкаська міська лікарня відновного лікування» </t>
  </si>
  <si>
    <t>Капітальний ремонт будівлі  КНП "Черкаська міська інфекційна лікарня"</t>
  </si>
  <si>
    <t>Капітальний ремонт будівель КНП "Черкаська міська інфекційна лікарня" (утеплення фасаду)</t>
  </si>
  <si>
    <t>Капітальний ремонт будівлі КНП "Черкаська міська РОП "Астра" (зовнішнє утеплення стін)</t>
  </si>
  <si>
    <t>Капітальний ремонт будівлі КНП "Перший Черкаський міський центр первинної медико-санітарної допомоги"</t>
  </si>
  <si>
    <t xml:space="preserve">Капітальний ремонт будівлі КНП "Другий Черкаський міський центр первинної медико-санітарної допомоги" за адресою м.Черкаси, вул. Кобзарська, 40 </t>
  </si>
  <si>
    <t>Капітальний ремонт будівлі КНП "Четвертий Черкаський міський центр первинної медико-санітарної допомоги"</t>
  </si>
  <si>
    <t xml:space="preserve">Капітальний ремонт (встановлення вузла обліку теплової енергії і ІТП системи опалення та вузла обліку гарячого водопостачання)  КНП "Черкаська міська дитяча стоматологічна поліклініка" за адресою вул. В’ячеслава Чорновола, 120 в м. Черкаси  </t>
  </si>
  <si>
    <t>Внески в статутний капітал  КНП "Черкаська міська дитяча стоматологічна поліклініка",  в т.ч.:</t>
  </si>
  <si>
    <t>Внески в статутний капітал КНП "Друга Черкаська міська лікарня відновного лікування", в т.ч.:</t>
  </si>
  <si>
    <t>Придбання мобільної рентгенівської системи з С-дугою для КНП "Третя Черкаська міська лікарня швидкої медичної допомоги"</t>
  </si>
  <si>
    <t>Капітальний ремонт будівлі КНП "Третя Черкаська міська лікарня швидкої медичної допомоги" (операційний блок)</t>
  </si>
  <si>
    <t xml:space="preserve">Придбання та встановлення обладнання для дитячого майданчика у дворі будників 23, 27 по вул. Вернигори в м. Черкаси </t>
  </si>
  <si>
    <t xml:space="preserve">Придбання та встановлення обладнання для дитячого майданчика у дворі будників 25, 29, 31 по вул. Вернигори та будинку №1 по вул. Десантників </t>
  </si>
  <si>
    <t xml:space="preserve">Будівництво мереж зовнішнього освітлення прибудинкової території житлового будинку №122/41 по вул. В. Чорновола </t>
  </si>
  <si>
    <t>Будівництво мереж зовнішнього освітлення пішохідної алеї від вул. Кобзарська до вул. Берегова</t>
  </si>
  <si>
    <t xml:space="preserve">Будівництво мереж зовнішнього освітлення прибудинкової території житлового будинку №120 по вул. В. Чорновола </t>
  </si>
  <si>
    <t xml:space="preserve">Будівництво мережі зовнішнього освітлення прибудинкової території житлових будинків №120/1, №120/2 по вул. В’ячеслава Чорновола в м.Черкаси </t>
  </si>
  <si>
    <t xml:space="preserve">Будівництво мережі зовнішнього освітлення прибудинкової території житлових будинків №33, №35 по вул. Анатолія Лупиноса в м.Черкаси </t>
  </si>
  <si>
    <t xml:space="preserve">Будівництво мережі зовнішнього освітлення прибудинкової території житлових будинків №149, №149/1, №149/2, №151, №153, №153/2, №155, №157 по вул. Самійла Кішки в м. Черкаси </t>
  </si>
  <si>
    <t xml:space="preserve">Будівництво мережі зовнішнього освітлення прибудинкової території житлового будинку №114/42 по вул. В’ячеслава Чорновола в м.Черкаси </t>
  </si>
  <si>
    <t xml:space="preserve">Будівництво мережі зовнішнього освітлення прибудинкової території житлового будинку № 299 по вул. Благовісна в  м. Черкаси </t>
  </si>
  <si>
    <t xml:space="preserve">Будівництво мережі зовнішнього освітлення прибудинкової території житлового будинку № 315 по вул. Гоголя в м. Черкаси </t>
  </si>
  <si>
    <t xml:space="preserve">Будівництво мережі зовнішнього освітлення прибудинкової території житлових будинків № 391 по вул. Надпільна в  м. Черкаси </t>
  </si>
  <si>
    <t xml:space="preserve">Будівництво мережі зовнішнього освітлення пішохідної алеї по вул. Хрещатик від вул. Університетська до вул. Крилова в  м. Черкаси </t>
  </si>
  <si>
    <t xml:space="preserve">Будівництво мережі зовнішнього освітлення пішохідного тротуару по вул. Смілянська від вул. Володимира Ложешнікова до вул. Хоменка (парна сторона) в м. Черкаси </t>
  </si>
  <si>
    <t>Реконструкція контейнерного майданчика для збору ТПВ за адресою вул. Хрещатик 130</t>
  </si>
  <si>
    <t>Будівництво мереж зовнішнього освітлення вулиць в мкрн. "Поляна" (Яблунева, Г. Буркацької, Івана Кулика, Миколи Лисенка, Городецького, Єфремова, Вишнева)</t>
  </si>
  <si>
    <t>Будівництво мережі зовнішнього освітлення на прибудинковій території житлових будинків № 12, 12/1, 12/2 по вул. Юрія Іллєнка</t>
  </si>
  <si>
    <t>Будівництво мережі зовнішнього освітлення прибудинкової території житлових будинків  № 46, 48, 50 по вул. Толстого</t>
  </si>
  <si>
    <t>Будівництво мережі зовнішнього освітлення прибудинкової території житлових будинків  № 7, 9, 11 по вул. Юрія Іллєнка</t>
  </si>
  <si>
    <t xml:space="preserve">Будівництво мережі зовнішнього освітлення прибудинкової території житлового будинку  №85 по  вул. В.Чорновола в м. Черкаси </t>
  </si>
  <si>
    <t>Будівництво мережі зовнішнього освітлення прибудинкової території житлових будинків   №158/1; №158/2; №160; №160/1; №160/2; №160/4 по вул. Нарбутівська в м. Черкаси</t>
  </si>
  <si>
    <t>Будівництво мережі зовнішнього освітлення прибудинкової території житлового будинку  №4  по вул. Різдвяна в м. Черкаси</t>
  </si>
  <si>
    <t>Будівництво мережі зовнішнього освітлення прибудинкової території житлового будинку  №22 по вул. Толстого в м. Черкаси</t>
  </si>
  <si>
    <t>Будівництво контейнерного майданчику для збору ТПВ за адресою вул. Надпільна 361</t>
  </si>
  <si>
    <t>Будівництво контейнерного майданчику для збору ТПВ за адресою вул. Чорновола241/1</t>
  </si>
  <si>
    <t>Будівництво контейнерного майданчику для збору ТПВ за адресою вул. Пастерівська 1</t>
  </si>
  <si>
    <t>Будівництво контейнерного майданчику для збору ТПВ за адресою вул. Тараскова 3</t>
  </si>
  <si>
    <t>Будівництво контейнерного майданчику для збору ТПВ за адресою вул. Руставі 11</t>
  </si>
  <si>
    <t>Будівництво контейнерного майданчику для збору ТПВ за адресою вул. Ярославська 8/1</t>
  </si>
  <si>
    <t>Будівництво контейнерного майданчику для збору ТПВ за адресою вул. Героїв Майдану 12</t>
  </si>
  <si>
    <t>Будівництво контейнерного майданчику для збору ТПВ за адресою вул. Руставі 15</t>
  </si>
  <si>
    <t>Будівництво контейнерного майданчику для збору ТПВ за адресою вул. Руставі 21</t>
  </si>
  <si>
    <t>Будівництво контейнерного майданчику для збору ТПВ за адресою вул. Героїв Майдану 8</t>
  </si>
  <si>
    <t>Будівництво контейнерного майданчику для збору ТПВ за адресою вул. Сумгаїтська 20</t>
  </si>
  <si>
    <t>Будівництво контейнерного майданчику для збору ТПВ за адресою вул.Нечуя Левицького 18</t>
  </si>
  <si>
    <t>Будівництво контейнерного майданчику для збору ТПВ за адресою вул. Грушевського 152/1</t>
  </si>
  <si>
    <t>Будівництво контейнерного майданчику для збору ТПВ за адресою вул. Пастерівська 44</t>
  </si>
  <si>
    <t>Реконструкція контейнерного майданчика для збору ТПВ за адресою вул.Кобзарська 42</t>
  </si>
  <si>
    <t>Будівництво контейнерного майданчика для збору ТПВ за адресою вул. Амброса 94</t>
  </si>
  <si>
    <t xml:space="preserve">Будівництво мереж зовнішнього освітлення по вул. Геронимівська </t>
  </si>
  <si>
    <t xml:space="preserve">Будівництво контейнерного майданчику для збору ТПВ по вул. Гетьмана Сагайдачного, 257 </t>
  </si>
  <si>
    <t>Будівництво контейнерного майданчика для збору ТПВ вул. Симиренківська 27</t>
  </si>
  <si>
    <t>Будівництво контейнерного майданчика для збору ТПВ вул.Гетьмана Сагайдачного 231</t>
  </si>
  <si>
    <t>Будівництво контейнерного майданчика ТПВ вул. Благовісна 332</t>
  </si>
  <si>
    <t>Реконструкція південно-західної частини полігону твердих побутових відходів в районі с. Руська Поляна</t>
  </si>
  <si>
    <t xml:space="preserve">Будівництво міського кладовища в районі вул. Промислової та станції Заводської (ІІ черга) </t>
  </si>
  <si>
    <t>Капітальний ремонт вул. Надпільна (тротуар, непарна сторона, від вул. Пастерівська до вул. Кривалівська)</t>
  </si>
  <si>
    <t>Капітальний ремонт пров. Поштовий в м.Черкаси</t>
  </si>
  <si>
    <t>Капітальний ремонт вул. Весела в м.Черкаси</t>
  </si>
  <si>
    <t>Капітальний ремонт пішохідної алеї по вул. Хрещатик (непарна сторона, від вул. Університетська до вул. Крилова).</t>
  </si>
  <si>
    <t>Капітальний ремонт вул. Університетська (парна сторона, від вул. Надпільна до вул. І. Гонти)</t>
  </si>
  <si>
    <t xml:space="preserve">Капітальний ремонт вул. Смілянської (тротуар, парна сторона, від вул. Вернигори до вул. Хоменка) в м. Черкаси </t>
  </si>
  <si>
    <t>Капітальний ремонт вул. Іллєнка (тротуар, парна сторона, непарна сторона, від вул. Амброса до вул. Толстого)</t>
  </si>
  <si>
    <t>Капітальний ремонт провулку Слобідський</t>
  </si>
  <si>
    <t>Капітальний ремонт вул. Вернигори (тротуар, непарна сторона від вул. Смілянська до житлового будинку № 21 по вул. Вернигори)</t>
  </si>
  <si>
    <t>Капітальний ремонт пішохідної алеї від ж/б Генерала Момота 3 до вул. Смаглія (між "Черкаським професійним автодорожнім ліцеєм" та ВПУ ім. Г.Ф. Короленка)</t>
  </si>
  <si>
    <t>Капітальний ремонт вул. Онопрієнка (тротуар, непарна сторона, від вул. Смаглія до ж/б № 1 по вул.Генерала Момота)</t>
  </si>
  <si>
    <t>Капітальний ремонт вул. Смаглія (тротуар, парна сторона, від вул. Онопрієнка до вул. О. Панченка)</t>
  </si>
  <si>
    <t>Капітальний ремонт пішохідної доріжки по периметру дитячого спортивного комплексу прибудинкової території ж/б № 1, 3, 5, 7 по вул. Генерала Момота</t>
  </si>
  <si>
    <t>Капітальний ремонт пішохідної алеї від ж/б № 2 по вул.С.Смірнова до вул.Гагаріна вздовж ж/б № 49 по вул.Г.Дніпра в м. Черкаси</t>
  </si>
  <si>
    <t>Капітальний  ремонт пішохідної алеї від вул.Героїв Дніпра вздовж житлового будинку №69 до ДНЗ №34</t>
  </si>
  <si>
    <t>Капітальний ремонт міжквартального проїзду від вул. Чехова до вул. Юрія Іллєнка, 11</t>
  </si>
  <si>
    <t>Капітальний ремонт вул. Новопричистенська (тротуар, парна сторона, від вул.Гоголя до вул.Благовісна)</t>
  </si>
  <si>
    <t>Капітальний ремонт пішохідної алеї від ж/б 243 до ж/б № 239 по вул. Г. Сагайдачного в м. Черкаси</t>
  </si>
  <si>
    <t>Капітальний ремонт пішохідної алеї від ж/б № 231 до ж/б № 237 по вул. Г. Сагайдачного в м. Черкаси</t>
  </si>
  <si>
    <t>Капітальний ремонт пішохідної алеї від вул. Г. Сагайдачного до ж/б № 168 м. Черкаси</t>
  </si>
  <si>
    <t>Капітальний ремонт міжквартального проїзду від ж/б № 184 до ж/б № 180 по вул.Благовісна</t>
  </si>
  <si>
    <t xml:space="preserve">Реконструкція вул. С. Кішки (тротуар, парна сторона, від вул. Бидгощська до вул. Чайковського) </t>
  </si>
  <si>
    <t>Реконструкція вул. Бидгощська (тротуар, парна сторона, від вул. С. Кішки до вул. Пастерівська)</t>
  </si>
  <si>
    <t>Капремонт вул. Вернигори (тротуар, непарна сторона, від вул. Лук’янова до вул. Десантників)</t>
  </si>
  <si>
    <t>Капремонт вул. Вернигори (тротуар, парна сторона, від вул. Смілянської до будинку №20 по вул. Вернигори, 20)</t>
  </si>
  <si>
    <t xml:space="preserve">Капітальний ремонт провулку Рибальський </t>
  </si>
  <si>
    <t>Капітальний ремонт вул. Хрещатик (тротуар, паркувальний майданчик, непарна сторона) від вул. Франка до вул. Пушкіна</t>
  </si>
  <si>
    <t>Реконструкція узвозу Пастерівський</t>
  </si>
  <si>
    <t>Капітальний ремонт вул. Симиренківська (від вул. Чигиринської до вул. Гетьмана Сагайдачного) в м. Черкаси</t>
  </si>
  <si>
    <t>Капітальний ремонт вул. Амброса (тротуар, парна сторона від вул. Новопричистенська до вул. Іллєнка)</t>
  </si>
  <si>
    <t>Капітальний ремонт вул. Пахарів Хутір (тротуар, непарна сторона, від вул. М. Старицького до санаторію "Пролісок")</t>
  </si>
  <si>
    <t>Капітальний ремонт об'єктів вулично-дорожньої мережі (встановлення технічних засобів регулювання дорожнього руху (системи відеоспостереження та центру керування дорожньою інфраструктурою))</t>
  </si>
  <si>
    <t>Капітальний ремонт  вул.Гоголя (тротуар, парна сторона від вул.Митницької до вул.Небесної Сотні)</t>
  </si>
  <si>
    <t>Капітальний ремонт вул. Пацаєва (тротуару від житлового будинку 14 до будинку 24 по вул. Пацаєва)</t>
  </si>
  <si>
    <t>Капітальний ремонт пішохідної алеї від вул.Гетьмана Сагайдачного 237 до вул. Подолинського 24</t>
  </si>
  <si>
    <t>Капітальний ремонт вул. Бидгощська від вул. Різдвяної до міжквартального проїзду від вул. Г. Сагайдачного до будівлі 175 по вул. Різдвяній в м. Черкаси</t>
  </si>
  <si>
    <t>Капітальний ремонт вул. Волкова (від вул. Чорновола до вул. Різдвяної) (в т.ч. паркувальний майданчик поблизу будинку №1 по вул. В. Чорновола) в м. Черкаси</t>
  </si>
  <si>
    <t>Капітальний ремонт вул. Пацаєва (встановлення світлофору біля ЗОШ № 14) в м. Черкаси</t>
  </si>
  <si>
    <t>Капітальний ремонт вул. Першотравнева в м. Черкаси</t>
  </si>
  <si>
    <t>Реконструкція вул. Новопричистенська (тротуар, парна сторона, від вул. Нарбутівської до вул. Г. Сагайдачного)</t>
  </si>
  <si>
    <t>Реконструкція вул. Гагаріна (від парку  Сосновий Бір  до узвозу Франка) в м. Черкаси</t>
  </si>
  <si>
    <t>Капітальний ремонт міжквартального проїзду від буд. № 1 по вул. Десантників до житлового будинку № 23 по вул. Вернигори</t>
  </si>
  <si>
    <t>Капітальний ремонт вул. Крилова (тротуар, парна сторона від вул. Надпільна до вул. І.Гонти)</t>
  </si>
  <si>
    <t>Капітальний ремонт вул. Університетська (тротуар, непарна сторона, від вул. Надпільна до вул. І. Гонти)</t>
  </si>
  <si>
    <t>Капітальний ремонт вул. Максима Кривоноса (від вул. Героїв Чорнобиля до вул. Крилова)</t>
  </si>
  <si>
    <t>Придбання техніки</t>
  </si>
  <si>
    <t>Будівництво мережі освітлення в парку-памʼятці садово-паркового мистецтва "Парк ім. Б. Хмельницького" по вул. Б.Вишневецього в м.Черкаси</t>
  </si>
  <si>
    <t>Капітальний ремонт  парку-памʼятки садово-паркового мистецтва "Парк ім. Б. Хмельницького" (ремонт доріжок) по вул. Б.Вишневецького в м.Черкаси</t>
  </si>
  <si>
    <t>Реконструкція Дитячого парку (реконструкція басейну з фонтаном) по вул.Хрещатик 168 в м.Черкаси</t>
  </si>
  <si>
    <t xml:space="preserve">Реконструкція парку-пам’ятки садово-паркового мистецтва "Парк ім. Б. Хмельницького" (реконструкція туалету) </t>
  </si>
  <si>
    <t>Капітальний ремонт парку "Казка" в м.Черкаси, вул.Припортова, 23/1</t>
  </si>
  <si>
    <t xml:space="preserve">Будівництво системи поливу в парку-пам’ятці садово-паркового мистецтва місцевого значення  "Парк "Перемоги" по вул.Смілянська, 132/1 в м.Черкаси </t>
  </si>
  <si>
    <t xml:space="preserve">Будівництво пляжу "Соснівський" (зовнішні мережі водопостачання, водовідведення з облаштуванням літніх душових, зовнішні мережі електропостачання) по вул. Гагаріна в м. Черкаси </t>
  </si>
  <si>
    <t xml:space="preserve">Придбання та встановлення системи відеоспостереження в парку-пам’ятці садово-паркового мистецтва загальнодержавного значення  "Парк ім. 50-річчя Радянської влади" </t>
  </si>
  <si>
    <t xml:space="preserve">Будівництво дитячого майданчика на пляжі "Митницький" в м.Черкаси </t>
  </si>
  <si>
    <t>Придбання системи фільтрації пляж "Казбетський"</t>
  </si>
  <si>
    <t xml:space="preserve">Придбання та встановлення дитячого та спортивного майданчика в сквері "Дружба" </t>
  </si>
  <si>
    <t>Реконструкція парку-пам'ятки садово-паркового мистецтва  "Юність" між вулицями Остафія Дашковича та Байди Вишневецького по бульв.Шевченка</t>
  </si>
  <si>
    <t>Придбання обладнання для занять кросфітом</t>
  </si>
  <si>
    <t>Придбання косарки-подрібнювача для трактора</t>
  </si>
  <si>
    <t xml:space="preserve">Придбання майданчика для вигулу та дресирування собак в парку-пам’ятці садово-паркового мистецтва  "Парк ім. 50-річчя Радянської влади" </t>
  </si>
  <si>
    <t xml:space="preserve">Придбання атракціону "Колесо огляду" </t>
  </si>
  <si>
    <t>Реконструкція парку пам’ятки садово-паркового мистецтва місцевого значення "Парк "Перемоги" (реконструкція пам’ятного знаку "Літак")</t>
  </si>
  <si>
    <t>Реконструкція скверу "Митницький" по вул. Б.Хмельницького в м.Черкаси</t>
  </si>
  <si>
    <t>Будівництво громадської вбиральні з облаштуванням кімнати матері та дитини по вул. Гагаріна в м. Черкаси</t>
  </si>
  <si>
    <t>Капітальний ремонт зупинок громадського транспорту</t>
  </si>
  <si>
    <t>Реконструкція адміністративної будівлі по вул. Бидгощській, 13 м. Черкаси</t>
  </si>
  <si>
    <t xml:space="preserve">Придбання комунальної техніки </t>
  </si>
  <si>
    <t>Реконструкція мережі зовнішнього освітлення  пров. Слобідський в м. Черкаси</t>
  </si>
  <si>
    <t>Реконструкція мережі зовнішнього освітлення вул. Анатолія Лупиноса від вул. Пастерівська до вул. В’ячеслава Чорновола в м. Черкаси</t>
  </si>
  <si>
    <t>Реконструкція мережі зовнішнього освітлення вул. Бидгощська від вул. Пастерівська до вул. В’ячеслава Чорновола в м. Черкаси</t>
  </si>
  <si>
    <t>Реконструкція мережі зовнішнього освітлення провулку Коцюбинського від вул. Самійла Кішки до вул. Пастерівська в м. Черкаси</t>
  </si>
  <si>
    <t xml:space="preserve">Реконструкція мережі зовнішнього освітлення провулку Михайла Сироти від вул. Самійла Кішки до вул. Пастерівська в м. Черкаси </t>
  </si>
  <si>
    <t xml:space="preserve">Реконструкція мережі зовнішнього освітлення вул. Гетьмана Сагайдачного від вул. В’ячеслава Чорновола до вул. Гуржіївська в м. Черкаси </t>
  </si>
  <si>
    <t xml:space="preserve">Реконструкція мережі зовнішнього освітлення вул. Митницька від бульвара  Шевченка до вул. Надпільна в м. Черкаси </t>
  </si>
  <si>
    <t xml:space="preserve">Реконструкція мережі зовнішнього освітлення  вул. Генерала Путейка в м. Черкаси </t>
  </si>
  <si>
    <t xml:space="preserve">Реконструкція мереж зовнішнього освітлення прибудинкової території житлових будинків по  вул. Хоменка 18, 20, 22, 24 в м. Черкаси </t>
  </si>
  <si>
    <t xml:space="preserve">Реконструкція мереж зовнішнього освітлення прибудинкової території житлових будинків по  вул. Хоменка 18/1, 18/2, 24/1 в м. Черкаси </t>
  </si>
  <si>
    <t xml:space="preserve">Реконструкція мережі зовнішнього освітлення вул. Танкістів в м. Черкаси </t>
  </si>
  <si>
    <t xml:space="preserve">Реконструкція мережі зовнішнього освітлення провулок Яцька Остряниці в м. Черкаси </t>
  </si>
  <si>
    <t xml:space="preserve">Реконструкція мережі зовнішнього освітлення провулку Дмитра Гуні в м. Черкаси </t>
  </si>
  <si>
    <t xml:space="preserve">Реконструкція мережі зовнішнього освітлення провулку Павла Бута в м. Черкаси </t>
  </si>
  <si>
    <t xml:space="preserve">Реконструкція мережі зовнішнього освітлення провулку Полковника Бурляя в м. Черкаси </t>
  </si>
  <si>
    <t>Реконструкція мережі зовнішнього освітлення вул. З0-річчя Перемоги (від вул. Сумгаїтська до вул. Руставі)</t>
  </si>
  <si>
    <t xml:space="preserve">Капітальний ремонт мереж зовнішнього освітлення з встановленням додаткового освітлення пішохідних переходів по вул. Менделєєва </t>
  </si>
  <si>
    <t xml:space="preserve">Капітальний ремонт мереж зовнішнього освітлення з встановленням додаткового освітлення пішохідних переходів по вул. Канівська </t>
  </si>
  <si>
    <t xml:space="preserve">Реконструкція мережі зовнішнього освітлення вул. Гагаріна від  Замкового узвозу до Черкаського міського парку «Сосновий Бір» в м. Черкаси </t>
  </si>
  <si>
    <t xml:space="preserve">Реконструкція мережі зовнішнього освітлення проспекту Хіміків від вул. Сурікова до вул. Симиренківська в  м. Черкаси </t>
  </si>
  <si>
    <t xml:space="preserve">Реконструкція мережі зовнішнього освітлення вул. Дахнівська від вул. Менделєєва  до бульвару Шевченка (парна сторона) в м. Черкаси </t>
  </si>
  <si>
    <t>Реконструкція мережі зовнішнього освітлення вул. Максима Кривоноса від  вул. Героїв Чорнобиля до вул. Гагаріна в м. Черкаси</t>
  </si>
  <si>
    <t>Реконструкція мережі зовнішнього освітлення вул. Чигиринська від вул. Добровольського до вул. Пацаєва в м. Черкаси</t>
  </si>
  <si>
    <t>Реконструкція мережі зовнішнього освітлення прибудинкової території житлових будинків по вул. Вернигори 23, 25, 27, 29</t>
  </si>
  <si>
    <t>Реконструкція  мережі зовнішнього освітлення вул. Нарбутівська від вул. Чехова до вул. Різдв'яна м. Черкаси</t>
  </si>
  <si>
    <t>Реконструкція мережі зовнішнього освітлення прибудинкової території житлового будинку №82 по  вул. Чехова  в м. Черкаси</t>
  </si>
  <si>
    <t>Капітальний ремонт мереж зовнішнього освітлення з встановленням додаткового освітлення пішохідних переходів по вул. Чехова в м. Черкаси</t>
  </si>
  <si>
    <t>Реконструкція мережі зовнішнього освітлення вул. Нечуя Левицького від Проспекту Хіміків до вул. Чайковського в м.Черкаси</t>
  </si>
  <si>
    <t>Реконструкція мережі зовнішнього освітлення прибудинкової території житлових будинків по вул Сумгаїтська 14, 16, 18, 20, 24  в м.Черкаси</t>
  </si>
  <si>
    <t>Реконструкція мережі зовнішнього освітлення прибудинкової території житлових будинку номер 50 по вул. 30 років Перемоги в м. Черкаси</t>
  </si>
  <si>
    <t>Реконструкція мережі зовнішнього освітлення прибудинкової території житлових будинків по вул Сумгаїтська 26, 28, 30, 32, 34, 36  в м.Черкаси</t>
  </si>
  <si>
    <t>Реконструкція мережі зовнішнього освітлення прибудинкової території житлових будинку номер 42 по вул Кобзарська   в м.Черкаси</t>
  </si>
  <si>
    <t>Реконструкція мережі зовнішнього освітлення вул. Сергія Амброса від вул. Іллєнка до вул. Кобзарська  в м.Черкаси</t>
  </si>
  <si>
    <t>Реконструкція мережі зовнішнього освітлення вул. Благовісна (від вул. В'ячеслава Чорновола до вул. Добровольського)</t>
  </si>
  <si>
    <t>Реконструкція мережі зовнішнього освітлення вул. Соснівська</t>
  </si>
  <si>
    <t>Реконструкція мережі зовнішнього освітлення вул. Симоненка</t>
  </si>
  <si>
    <t>Реконструкція мережі зовнішнього освітлення набережної річкового вокзалу</t>
  </si>
  <si>
    <t>Реконструкція шаф управління зовнішнім освітленням міста в Соснівському районі із встановленням автоматизованої системи комерційного обліку електричної енергії споживача</t>
  </si>
  <si>
    <t>Реконструкція шаф управління зовнішнім освітленням міста в Придніпровському районі із встановленням автоматизованої системи комерційного обліку електричної енергії споживача</t>
  </si>
  <si>
    <t>Реконструкція мережі зовнішнього освітлення вул. Припортова</t>
  </si>
  <si>
    <t>Реконструкція мережі зовнішнього освітлення вул. Корольова</t>
  </si>
  <si>
    <t>Реконструкція мережі зовнішнього освітлення шляхопроводу проспект Хіміків</t>
  </si>
  <si>
    <t>Реконструкція мережі зовнішнього освітлення вул. Пушкіна</t>
  </si>
  <si>
    <t>Реконструкція мережі зовнішнього освітлення вул. Франка</t>
  </si>
  <si>
    <t>Реконструкція мережі зовнішнього освітлення прибудинкової території житлових будинків № 4, 6, 8 по вул. Припортова</t>
  </si>
  <si>
    <t>Придбання мультимедійної дошки для ДНЗ № 46</t>
  </si>
  <si>
    <t>Придбання пральної машини ДНЗ № 34 "Дніпряночка"</t>
  </si>
  <si>
    <t>Придбання обладнання для дитячих майданчиків ДНЗ № 10</t>
  </si>
  <si>
    <t>Придбання побутової техніки та обладнання для ДНЗ № 43</t>
  </si>
  <si>
    <t>Придбання побутової техніки та обладнання для ДНЗ № 74</t>
  </si>
  <si>
    <t>Придбання комплекту навчального обладнання для кабінету географії для СШ №20</t>
  </si>
  <si>
    <t>Придбання   шкільних меблів (комплекти учнівських столів зі стільцями) ЗОШ №6</t>
  </si>
  <si>
    <t>Придбання   шкільних меблів (інтерактивні дошки) ЗОШ №6</t>
  </si>
  <si>
    <t>Придбання обладнання для кабінету трудового навчання гімназія № 9</t>
  </si>
  <si>
    <t>Придбання звукового обладнання гімназія № 9</t>
  </si>
  <si>
    <t>Придбання лічильника тепла ЗОШ № 22</t>
  </si>
  <si>
    <t>Придбання книг для поповнення бібліотечного фонду Черкаської міської ЦБС</t>
  </si>
  <si>
    <t>Придбання штучної новорічної ялинки та новорічних інсталяцій</t>
  </si>
  <si>
    <t>Придбання спортивного інвентарю для КДЮСШ м. Черкаси згідно Програми розвитку єдиноборств у м. Черкаси на 2019-2023 роки</t>
  </si>
  <si>
    <t>Придбання причіпу-конструкції для перевезення спортивних човнів для ДЮСШ з веслування ЧМР</t>
  </si>
  <si>
    <t>Реконструкція будівлі (фасад) ДНЗ № 29</t>
  </si>
  <si>
    <t xml:space="preserve">Реконструкція будівлі (утеплення) дошкільного навчального закладу (ясла-садок) №50 "Світлофорчик" Черкаської міської ради по вул. Верхня Горова, 65 в м.Черкаси </t>
  </si>
  <si>
    <t xml:space="preserve">Реконструкція прилеглої території (огорожа) дошкільного навчального закладу (ясла-садок) № 2 "Сонечко" Черкаської міської ради по вул.Хрещатик, 261 в м. Черкаси </t>
  </si>
  <si>
    <t>Реконструкція будівлі ДНЗ № 78 (утеплення фасаду)</t>
  </si>
  <si>
    <t xml:space="preserve">Реконструкція прилеглої території ЗОШ № 15 </t>
  </si>
  <si>
    <t>Реконструкція будівлі (фасад) ДНЗ № 45</t>
  </si>
  <si>
    <t>Реконструкція будівлі (фасад) СШ № 18 (молодша)</t>
  </si>
  <si>
    <t>Реконструкція будівлі (харчоблок) СШ № 18</t>
  </si>
  <si>
    <t>Реконструкція будівлі (басейн) ДНЗ № 34</t>
  </si>
  <si>
    <t>Реконструкція будівлі (спортивна зала)  ЗОШ № 12</t>
  </si>
  <si>
    <t>Реконструкція будівлі (утеплення фасаду) СШ № 13</t>
  </si>
  <si>
    <t>Капітальний ремонт будівлі (харчоблок) ДНЗ №77</t>
  </si>
  <si>
    <t>Капітальний ремонт будівлі (санітарні вузли) ДНЗ №77</t>
  </si>
  <si>
    <t>Капітальний ремонт прилеглої території ДНЗ № 1 «Дюймовочка»</t>
  </si>
  <si>
    <t>Капітальний ремонт будівлі  (санітарні вузли) ДНЗ № 1 «Дюймовочка»</t>
  </si>
  <si>
    <t xml:space="preserve">Капітальний ремонт будівлі ДНЗ № 61 </t>
  </si>
  <si>
    <t>Капітальний ремонт будівлі ДНЗ № 63</t>
  </si>
  <si>
    <t>Капітальний ремонт будівлі ДНЗ № 35</t>
  </si>
  <si>
    <t>Капітальний ремонт будівлі ДНЗ № 46</t>
  </si>
  <si>
    <t>Капітальний ремонт будівлі ДНЗ № 45</t>
  </si>
  <si>
    <t xml:space="preserve">Капітальний ремонт прилеглої території (огорожа) дошкільного навчального закладу (ясла-садок) №50 "Світлофорчик" Черкаської міської ради по вул. Верхня Горова, 65 в м.Черкаси </t>
  </si>
  <si>
    <t>Капітальний ремонт будівлі (басейн) ДНЗ № 90</t>
  </si>
  <si>
    <t>Капітальний ремонт будівлі (пральня) ДНЗ № 91</t>
  </si>
  <si>
    <t>Капітальний ремонт будівлі (харчоблоку) ДНЗ № 34 "Дніпряночка"</t>
  </si>
  <si>
    <t>Капітальний ремонт будівлі (утеплення фасаду) ДНЗ № 91 "Кобзарик"</t>
  </si>
  <si>
    <t xml:space="preserve">Капітальний ремонт будівлі  (групові осередки) ДНЗ № 41 </t>
  </si>
  <si>
    <t>Капітальний ремонт будівлі   (харчоблок)  ДНЗ № 76</t>
  </si>
  <si>
    <t xml:space="preserve">Капітальний ремонт будівлі ДНЗ № 54 </t>
  </si>
  <si>
    <t>Капітальний ремонт будівлі   (система вентиляції) ДНЗ № 57</t>
  </si>
  <si>
    <t>Капітальний ремонт прилеглої території (павільйони) ДНЗ № 61</t>
  </si>
  <si>
    <t>Капітальний ремонт будівлі (утеплення фасаду) ДНЗ № 77</t>
  </si>
  <si>
    <t>Капітальний ремонт будівлі (утеплення фасаду) ДНЗ №37 «Ракета»</t>
  </si>
  <si>
    <t xml:space="preserve">Капітальний ремонт будівлі (утеплення фасаду) ДНЗ № 74 </t>
  </si>
  <si>
    <t>Капітальний ремонт будівлі (групові осередки) ДНЗ № 29 «Ластівка»</t>
  </si>
  <si>
    <t>Капітальний ремонт будівлі   (санітарні вузли) ДНЗ № 33</t>
  </si>
  <si>
    <t>Капітальний ремонт будівлі ДНЗ № 34</t>
  </si>
  <si>
    <t>Капітальний ремонт будівлі  (фасад) ДНЗ № 57</t>
  </si>
  <si>
    <t xml:space="preserve">Капітальний ремонт будівлі ДНЗ № 78 «Джерельце»  </t>
  </si>
  <si>
    <t>Капітальний ремонт будівлі (групові осередки) ДНЗ № 91</t>
  </si>
  <si>
    <t xml:space="preserve">Капітальний ремонт будівлі ДНЗ № 30 </t>
  </si>
  <si>
    <t>Капітальний ремонт будівлі ДНЗ № 31</t>
  </si>
  <si>
    <t>Капітальний ремонт будівлі (зовнішні інженерні мережі) ДНЗ № 31</t>
  </si>
  <si>
    <t>Капітальний ремонт будівлі (покрівля) ДНЗ № 38</t>
  </si>
  <si>
    <t>Капітальний ремонт будівлі (покрівля) ДНЗ № 39</t>
  </si>
  <si>
    <t xml:space="preserve">Капітальний ремонт будівлі (внутрішні інженерні мережі) ДНЗ № 39 </t>
  </si>
  <si>
    <t>Капітальний ремонт будівлі  (утеплення фасаду) ДНЗ № 22</t>
  </si>
  <si>
    <t>Капітальний ремонт будівлі  (санітарні вузли) ДНЗ № 22</t>
  </si>
  <si>
    <t>Капітальний ремонт будівлі  ДНЗ №43 (санвузли)</t>
  </si>
  <si>
    <t>Капітальний ремонт прилеглої території (павільйони)  ДНЗ № 61</t>
  </si>
  <si>
    <t xml:space="preserve">Капітальний ремонт будівлі  (пральня) ДНЗ № 81 </t>
  </si>
  <si>
    <t>Капітальний ремонт будівлі (утеплення фасаду)  ДНЗ №2</t>
  </si>
  <si>
    <t xml:space="preserve">Капітальний ремонт прилеглої території (дитячі ігрові конструкції) дошкільного навчального закладу (ясла-садок) № 2 "Сонечко" Черкаської міської ради по вул.Хрещатик, 261 в м. Черкаси </t>
  </si>
  <si>
    <t>Капітальний ремонт будівлі ДНЗ № 50</t>
  </si>
  <si>
    <t>Капітальний ремонт прилеглої території (дитячі ігрові конструкції) дошкільного навчального закладу (ясла -садок) №50 "Світлофорчик" Черкаської міської ради по вул. Верхня Горова, 65 в м.Черкаси</t>
  </si>
  <si>
    <t>Капітальний ремонт будівлі (утеплення фасаду) ДНЗ №13</t>
  </si>
  <si>
    <t xml:space="preserve">Капітальний ремонт прилеглої території гімназії  (улаштування тротуарної плитки) № 31 </t>
  </si>
  <si>
    <t xml:space="preserve">Капітальний ремонт будівлі (утеплення фасаду) Черкаського колегіуму "Берегиня" </t>
  </si>
  <si>
    <t>Капітальний ремонт будівлі (фасад) СШ № 17</t>
  </si>
  <si>
    <t>Капітальний ремонт будівлі (утеплення фасаду) НВК ЗОШ №34</t>
  </si>
  <si>
    <t xml:space="preserve">Капітальний ремонт прилеглої території  (футбольне поле) ЗОШ № 19 </t>
  </si>
  <si>
    <t>Капітальний ремонт будівлі (спортивна зала) ЗОШ № 11</t>
  </si>
  <si>
    <t xml:space="preserve">Капітальний ремонт будівлі  (заміна вікон) ЗОШ № 12 </t>
  </si>
  <si>
    <t xml:space="preserve">Капітальний ремонт будівлі  (центральний та запасні входи) ЗОШ № 12 </t>
  </si>
  <si>
    <t xml:space="preserve">Капітальний ремонт прилеглої території (огорожа спортивного майданчику) ЗОШ № 12 </t>
  </si>
  <si>
    <t>Капітальний ремонт будівлі  (заміна вікон) ЗОШ № 5</t>
  </si>
  <si>
    <t>Капітальний ремонт будівлі ЗОШ №22 (утеплення фасаду)</t>
  </si>
  <si>
    <t xml:space="preserve">Капітальний ремонт прилеглої території ЗОШ № 19 </t>
  </si>
  <si>
    <t>Капітальний ремонт будівлі ЗОШ № 15</t>
  </si>
  <si>
    <t>Капітальний ремонт будівлі (спортивна зала) ЗОШ № 6</t>
  </si>
  <si>
    <t>Капітальний ремонт будівлі  ЗОШ № 8</t>
  </si>
  <si>
    <t xml:space="preserve">Капітальний ремонт будівлі ЗОШ № 25 </t>
  </si>
  <si>
    <t xml:space="preserve">Капітальний ремонт (термомодернізація ІІІ блоку) Черкаської спеціалізованої школи І-ІІІ ст. № 27 ім.М.К.Путейка Черкаської міської ради по вул. Сумгаїтській, 22, м.Черкаси </t>
  </si>
  <si>
    <t>Капітальний ремонт будівлі (покрівля) СШ № 28</t>
  </si>
  <si>
    <t>Капітальний ремонт будівлі  (інженерні мережі каналізації, водопроводу) ЗОШ № 12</t>
  </si>
  <si>
    <t>Капітальний ремонт будівлі (санітарні вузли) Черкаської спеціалізованої школи І-ІІІ ступенів № 13</t>
  </si>
  <si>
    <t>Капітальний ремонт будівлі  (актова зала) гімназії № 31</t>
  </si>
  <si>
    <t>Капітальний ремонт будівлі (заміна вікон) Черкаського колегіуму "Берегиня" Черкаської міської ради по вул. Хоменка 14/1 в м. Черкаси</t>
  </si>
  <si>
    <t>Капітальний ремонт будівлі (центральний вхід) СШ № 17</t>
  </si>
  <si>
    <t>Капітальний ремонт будівлі (спортивний зал) НВК ЗОШ № 34</t>
  </si>
  <si>
    <t>Капітальний ремонт будівлі (утеплення фасаду) ДНЗ №9</t>
  </si>
  <si>
    <t>Капітальний ремонт будівлі (утеплення фасаду) ДНЗ № 87 «Дельфін»</t>
  </si>
  <si>
    <t>Реконструкція бігових доріжок гумовим покриттям спеціалізованої школи № 17</t>
  </si>
  <si>
    <t>Капітальний ремонт прилеглої території колегіуму "Берегиня" по вул. Хоменка, 14/1 в м. Черкаси</t>
  </si>
  <si>
    <t xml:space="preserve">Капітальний ремонт прилеглої  території (спортивний майданчик з штучним покриттям) ФІМЛІ ЧМР по вул.Благовісній, 280 в м.Черкаси </t>
  </si>
  <si>
    <t>Капітальний ремонт будівлі (санітарні вузли) колегіуму «Берегиня</t>
  </si>
  <si>
    <t xml:space="preserve">Капітальний ремонт будівлі нежитлового приміщення вул. Чехова 112 в м. Черкаси </t>
  </si>
  <si>
    <t>Реконструкція будівлі за адресою вул. Вернигори, 19, м.Черкаси</t>
  </si>
  <si>
    <t>Капітальний ремонт будівлі (концертний зал) Черкаської ДМШ № 1 ім. М.В. Лисенка</t>
  </si>
  <si>
    <t>Капітальний ремонт частини приміщень будівлі Черкаської дитячої школи мистецтв по провулку Гастелло, 3 (корпусу № 2)</t>
  </si>
  <si>
    <t>Капітальний ремонт будівлі (утеплення фасаду) корпусу 1 Дитячої школи мистецтв, пров. Гастелло, 3</t>
  </si>
  <si>
    <t>Капітальний ремонт навчальних класів корпусу 1 Дитячої школи мистецтв, пров. Гастелло, 3</t>
  </si>
  <si>
    <t>Капітальний ремонт прилеглої території дитячої школи мистецтв, провулок Гастелло, 3 м. Черкаси</t>
  </si>
  <si>
    <t>Капітальний ремонт будівлі ЧМЦБ ім. Лесі Українки</t>
  </si>
  <si>
    <t>Реконструкція будівлі (фасад)  спортивного комплексу з басейном на території КП «Центральний стадіон»</t>
  </si>
  <si>
    <t>Реконструкція  комплексу з басейном "Сокіл"(система рекуперації) по вул. Смілянській, 78</t>
  </si>
  <si>
    <t>Капітальний ремонт будівлі (внутрішні мережі опалення) за адресою: вул. Смілянська, 94, КДЮСШ № 1</t>
  </si>
  <si>
    <t>Капітальний ремонт будівлі спортивного комплексу з басейном на КП "Центральний стадіон" (роздягальні, фойє)  вул. Смілянська, 78</t>
  </si>
  <si>
    <t>Капітальний ремонт будівлі спортивного комплексу з басейном на КП "Центральний стадіон" (зал боксу)  вул. Смілянська, 78</t>
  </si>
  <si>
    <t xml:space="preserve">Реконструкція частини адміністративної будівлі з розміщенням кімнат відпочинку спортсменів КП "Центральний стадіон"  по вул. Смілянська, 78 </t>
  </si>
  <si>
    <t>Реконструкція будівлі спортивного комплексу з басейном на КП "Центральний стадіон" (спортивний зал для ігрових видів спорту)  вул. Смілянська, 78</t>
  </si>
  <si>
    <t>Реконструкція прилеглої території (стаціонарна арена для боксу)   КП "Центральний стадіон" вул. Смілянська, 78</t>
  </si>
  <si>
    <t>Капітальний ремонт будівлі КП "Спортивний комплекс "Будівельник" (система пожежної сигналізації, оповіщення людей про пожежу та передачі тривожних сповіщень) за адресою: пр-т Хіміків 50/1</t>
  </si>
  <si>
    <t>Капітальний ремонт будівлі (покрівля) КП "Спортивний комплекс "Будівельник", за адресою: пр-т Хіміків 50/1</t>
  </si>
  <si>
    <t>Капітальний ремонт Черкаської гімназії №9 ім. О.М. Луценка (замощення та освітлення прилеглої території), м. Черкаси</t>
  </si>
  <si>
    <t>Будівництво ДНЗ за адресою вул. Г. Дніпра, 87  м. Черкаси</t>
  </si>
  <si>
    <t>Реконструкція спортивного багатофункціонального майданчику по вул. Героїв Дніпра 69</t>
  </si>
  <si>
    <t>Реконструкція футбольно-баскетбольної площадки за адресою бульвар Шевченка, 399/1</t>
  </si>
  <si>
    <t>Реконструкція спортивного майданчику за адресою: вул.С.Амброса, 147 м. Черкаси</t>
  </si>
  <si>
    <t>Виготовлення та встановлення скульптур "Воїна захисника" та "Воїна з мечем" меморіального комплексу пам'яті учасників АТО в м. Черкаси</t>
  </si>
  <si>
    <t>Виготовлення та встановлення скульптури "Древо миру - Древо життя" меморіального комплексу пам'яті учасників АТО в м. Черкаси</t>
  </si>
  <si>
    <t>Будівництво меморіального комплексу пам'яті учасників АТО в м. Черкаси</t>
  </si>
  <si>
    <t>Реконструкція пам'ятника загиблим в Афганістані та інших локальних конфліктах в єдиному меморіальному комплексі по бульвару Шевченка в м. Черкасах</t>
  </si>
  <si>
    <t>Реконструкція вул.Добровольського від бул.Шевченка до вул.Сагайдачного м.Черкаси (виготовлення ПКД)</t>
  </si>
  <si>
    <t>Реконструкція вул.Козацька від вул. Г. Дніпра до набережної м.Черкаси  (виготовлення ПКД)</t>
  </si>
  <si>
    <t xml:space="preserve">Реконструкція вул. Менделєєва від вул. Санаторної до вул. Я. Галана </t>
  </si>
  <si>
    <t xml:space="preserve">Реконструкція вул. Різдвяна від вул. Толстого до вул. Нарбутівська м. Черкаси </t>
  </si>
  <si>
    <t>Реконструкція вул. Чехова від вул. Нижня Горова до вул. Гетьмана Сагайдачного м. Черкаси</t>
  </si>
  <si>
    <t>Реконструкція із застосуванням щебенево-мастичного асфальтобетону бульв. Шевченка (від вул. Лазарєва до вул. Небесної Сотні), м. Черкаси</t>
  </si>
  <si>
    <t>Реконструкція із застосуванням щебенево-мастичного асфальтобетону бульв. Шевченка (від вул. Г.Сталінграда до вул. Різдв'яна), м. Черкаси</t>
  </si>
  <si>
    <t>Реконструкція із застосуванням щебенево-мастичного асфальтобетону бульв. Шевченка (від вул. Різдв'яна до вул. Добровольського), м. Черкаси</t>
  </si>
  <si>
    <t>Реконструкція вул. Героїв Дніпра  (від вул. Сержанта Смірнова до вул. Козацька), в м. Черкаси</t>
  </si>
  <si>
    <t>Реконструкція вул. Ільїна (від вул. Чорновола до вул. Пацаєва) (І черга)</t>
  </si>
  <si>
    <t>Реконструкція вул. Самійла Кішки від вул. Бидгощська до пр-т Хіміків м. Черкаси (виготовлення ПКД)</t>
  </si>
  <si>
    <t>Реконструкція вул.Сумгаїтської від межі міста до вул. Одеської</t>
  </si>
  <si>
    <t xml:space="preserve">Реконструкція із застосуванням щебенево-мастичного асфальтобетону вул. Енгельса від бульв. Шевченка до вул. Бидгощської </t>
  </si>
  <si>
    <t xml:space="preserve">Реконструкція із застосуванням щебенево-мастичного асфальтобетону вул. Смілянської від вул. Фрунзе до вул. 30- річчя Перемоги </t>
  </si>
  <si>
    <t>Реконструкція із застосуванням щебенево-мастичного асфальтобетону вул. Хрещатик від вул. Котовського до вул. Леніна</t>
  </si>
  <si>
    <t>Реконструкція тротуару по бул.Шевченка (непарна сторона) від вул. Пушкіна до вул. Франка (мощення)</t>
  </si>
  <si>
    <t>Реконструкція вул. Б. Вишневецького (тротуар) від вул. Хрещатик до Замкового узвозу, м. Черкаси</t>
  </si>
  <si>
    <t>Реконструкція  вул. Пастерівська (тротуар парна сторона) від вул. О. Маламужа до вул. Пилипенка м. Черкаси</t>
  </si>
  <si>
    <t>Капітальний ремонт внутрішньоквартального проїзду від  вул. Ю. Іллєнка, 130 до вул. Різдвяна 115 м. Черкаси</t>
  </si>
  <si>
    <t>Капітальний ремонт внутрішньоквартального проїзду від вул. Волкова, 103 до вул. Амброса, 12 м. Черкаси</t>
  </si>
  <si>
    <t>Капітальний ремонт між квартального проїзду від вул. Пацаєва, 14 до вул. Гетьмана Сагайдачного 241 м. Черкаси</t>
  </si>
  <si>
    <t>Капітальний ремонт бульв. Шевченка (тротуари від вул. Небесної Сотні до вул. Г.Сталінграда), м. Черкаси</t>
  </si>
  <si>
    <t>Капітальний ремонт бульв. Шевченка (тротуари від вул. Припортова до вул. Добровольського), м. Черкаси</t>
  </si>
  <si>
    <t xml:space="preserve">Капітальний ремонт вул.Пилипенка (тротуар парна сторона) від вул. Пастерівської до вул. М.Залізняка, м. Черкаси </t>
  </si>
  <si>
    <t>Капітальний ремонт вул. Благовісна від вул. В'ячеслава Чорновола до вул. Добровольського в м. Черкаси</t>
  </si>
  <si>
    <t>Капітальний ремонт вул.Сумгаїтська (від вул.Одеська до вул.30-річчя Перемоги) в м.Черкаси</t>
  </si>
  <si>
    <t>Будівництво набережної між вул. Козацька та вул. С. Смірнова м. Черкаси (виготовлення ПКД)</t>
  </si>
  <si>
    <t>Будівництво вул.Квіткова від вул.Сумгаїтської до вул.Хоменко</t>
  </si>
  <si>
    <t>Реконструкція Набережної ("Митниця" - І черга)</t>
  </si>
  <si>
    <t>Реконструкція парку-пам'ятки садово-паркового мистецтва місцевого значення "Сквер Обласної ради"</t>
  </si>
  <si>
    <t>Реконструкція скверу "В'ячеслава Чорновола"</t>
  </si>
  <si>
    <t>Реконструкція спортивного майданчику для занять кросфітом на пляжі "Казбетський"</t>
  </si>
  <si>
    <t>Реконструкція спортивного майданчику по вул. Луначарського у дворі будинків №1,3,4,5 в м. Черкаси</t>
  </si>
  <si>
    <t>Капітальний ремонт внутрішньоквартального проїзду від  вул. Різдвяна, 62 до вул. Благовісна, 455 в м. Черкаси</t>
  </si>
  <si>
    <t>Капітальний ремонт території ярмарок (укладання тротуарною плиткою) по вул.Сумгаїтська поблизу будинку 69</t>
  </si>
  <si>
    <t>Реконструкція ЗОШ І-ІІІ ступенів № 26 (підвищення енергоефективності закладів освіти в рамках спільного проекту з НЕФКО)</t>
  </si>
  <si>
    <t>Реконструкція вул. Героїв Дніпра  (від вул. Богдана Хмельницького до вул. Сержанта Смірнова), м. Черкаси</t>
  </si>
  <si>
    <t>Реконструкція вул. Героїв Дніпра  (від вул. Сержанта Жужоми до вул. Богдана Хмельницького), в м. Черкаси</t>
  </si>
  <si>
    <t>Капітальний ремонт, реконструкція житлового фонду ОСББ  (Програма підтримки об'єднань співвласників багатоквартирних будинків (ОСББ, асоціацій ОСББ) у м. Черкаси "Формування відповідального власника житла" на 2019-2020 роки ), на умовах співфінансування</t>
  </si>
  <si>
    <t>Будівництво мережі зовнішнього освітлення прибудинкової території житлових будинків  № 76, 78 по вул. Толстого</t>
  </si>
  <si>
    <t>Придбання промислової пральної машини ДНЗ № 13</t>
  </si>
  <si>
    <t>Придбання промислової пральної машини ДНЗ№ 43</t>
  </si>
  <si>
    <t>Придбання промислової пральної машини ДНЗ № 59</t>
  </si>
  <si>
    <t>Придбання промислової пральної машини ДНЗ №74</t>
  </si>
  <si>
    <t>Придбання комп’ютерної техніки ЗОШ № 12</t>
  </si>
  <si>
    <t>Придбання обладнання в кабінет праці ЗОШ № 12</t>
  </si>
  <si>
    <t>Придбання звукового та освітлювального обладнання ЗОШ №12</t>
  </si>
  <si>
    <t>Придбання комп’ютерної техніки ЗОШ №21</t>
  </si>
  <si>
    <t>Придбання обладнання в кабінет праці ЗОШ №21</t>
  </si>
  <si>
    <t>Придбання звукового та освітлювального обладнання ЗОШ №21</t>
  </si>
  <si>
    <t>Придбання комп’ютерної техніки ЗОШ №22</t>
  </si>
  <si>
    <t>Придбання обладнання в кабінет праці ЗОШ №22</t>
  </si>
  <si>
    <t>Придбання звукового та освітлювального обладнання ЗОШ№ 22</t>
  </si>
  <si>
    <t xml:space="preserve">Реконструкція Гімназії №9 з надбудовою рекреаційного приміщення над частиною підвалу (ТИР) </t>
  </si>
  <si>
    <t xml:space="preserve">Реконструкція будівлі (утеплення фасаду) СШ № 13 </t>
  </si>
  <si>
    <t xml:space="preserve">Капітальний  ремонт будівлі ДНЗ №81  </t>
  </si>
  <si>
    <t>Капітальний ремонт будівлі (заміна вікон) ДНЗ №62</t>
  </si>
  <si>
    <t xml:space="preserve">Капітальний ремонт будівлі (заміна вікон) ДНЗ № 60 </t>
  </si>
  <si>
    <t xml:space="preserve">Капітальний ремонт будівлі   (санвузли) ЗОШ №22 </t>
  </si>
  <si>
    <t>Капітальний ремонт будівлі (утеплення фасаду) НВК ЗОШ № 34</t>
  </si>
  <si>
    <t xml:space="preserve">Капітальний ремонт будівлі  (тир) гімназія № 31 </t>
  </si>
  <si>
    <t>Капітальний ремонт будівлі (влаштування автоматичної системи пожежної сигналізації та оповіщення, автоматичної системи пожежогасіння) ФІМЛІ ЧМР</t>
  </si>
  <si>
    <t>Капітальний ремонт будівлі  КНП «Друга Черкаська міська лікарня відновного лікування» (заміна вікон та утеплення фасаду)</t>
  </si>
  <si>
    <t>Придбання комп’ютерної техніки гімназії № 9</t>
  </si>
  <si>
    <t>Реконструкція території по вул. Смілянській, 33 (біля ЦДЮТ)</t>
  </si>
  <si>
    <t>Придбання комп’ютерного обладнання (комп’ютер стаціонарний) (за рахунок субвенції з місцевого бюджету на надання державної підтримки особам з особливими освітніми потребами за рахунок відповідної субвенції з державного бюджету)</t>
  </si>
  <si>
    <t>Будівництво полігону твердих побутових відходів в районі с. Руська Поляна</t>
  </si>
  <si>
    <t>Капітальний ремонт прилеглої території (огорожа) НВК ЗОШ № 34</t>
  </si>
  <si>
    <t xml:space="preserve">Капітальний  ремонт внутрішньоквартального проїзду вул. Благовісна буд.330; буд. 332  </t>
  </si>
  <si>
    <t>Капітальний ремонт внутрішньоквартального проїзду вул. Чехова 82, Нарбутівська 187 в м. Черкаси</t>
  </si>
  <si>
    <t>Капітальний ремонт внутрішньоквартального проїзду вул. Чехова 54,56 від вул. Чехова до вул. Гоголя м. Черкаси</t>
  </si>
  <si>
    <t>Капітальний ремонт дитячого та спортивного майданчика по вул. Смірнова, 2</t>
  </si>
  <si>
    <t xml:space="preserve"> Внески в статутний капітал  КП "Черкаситеплокомуненерго", в т.ч.:</t>
  </si>
  <si>
    <t>Капітальний ремонт (утеплення фасадів) виробничої будівлі КПТМ «Черкаситеплокомуненерго» по вул. Прикордонника Лазаренка, 6</t>
  </si>
  <si>
    <t>Капітальний ремонт огороджуючих конструкцій з заміною вікон котельні по вул. Онопрієнка, 8 в м. Черкаси</t>
  </si>
  <si>
    <t>Капітальний ремонт огороджуючих конструкцій (з заміною вікон) котельні по вул. Красовського, 10 в м. Черкаси</t>
  </si>
  <si>
    <t>Придбання лічильників тепла та води</t>
  </si>
  <si>
    <t>Придбання обладнання і предметів довгострокового користування (апарат для неінвазивної та інвазивної вентиляції легень) для КНП "П'ятий Черкаський міський центр первинної медико-санітарної допомоги"</t>
  </si>
  <si>
    <t>Внески в статутний капітал КНП "П'ятий Черкаський міський центр первинної медико-санітарної допомоги", в т.ч.:</t>
  </si>
  <si>
    <t>Реконструкція прилеглої території (спортивний майданчик) Перша міська гімназія</t>
  </si>
  <si>
    <t>Капітальний ремонт будівлі СШ № 33</t>
  </si>
  <si>
    <t>Реконструкція будівлі (фасад) ДНЗ № 59</t>
  </si>
  <si>
    <t xml:space="preserve">Капітальний ремонт будівлі (басейн) ДНЗ №34 </t>
  </si>
  <si>
    <t>Реконструкція прилеглої території (покриття синтетична трава) гімназія № 31</t>
  </si>
  <si>
    <t>Капітальний ремонт спортивного майданчику зі штучним покриттям ЗОШ № 6</t>
  </si>
  <si>
    <t>Капітальний ремонт спортивного майданчику зі штучним покриттям ЗОШ № 29</t>
  </si>
  <si>
    <t>Реконструкція будівлі ДНЗ № 21 (ПКД)</t>
  </si>
  <si>
    <t>Капітальний ремонт вул. Ю. Іллєнка від вул. Нарбутівська до вул. Нижня Горова  в м. Черкаси (виготовлення ПКД)</t>
  </si>
  <si>
    <t>Капітальний ремонт внутрішньоквартального проїзду вул. Різдвяна буд. 9 до вул. Ю. Іллєнка  буд. 22 в м. Черкаси</t>
  </si>
  <si>
    <t xml:space="preserve">Капітальний ремонт вул. Нарбутівська від вул. Ю. Іллєнка до вул.  Різдвяна м. Черкаси </t>
  </si>
  <si>
    <t>Реконструкція вул. Сержанта Жужоми (від вул. Гагаріна до вул. Героїв Дніпра) в м. Черкаси</t>
  </si>
  <si>
    <t xml:space="preserve">Реконструкція житлового будинку по вул. Гагаріна,45 з посиленням несучих конструкцій (усунення аварійного стану першого під'їзду)  </t>
  </si>
  <si>
    <t>Найменування головного розпорядника коштів місцевого бюджету,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</si>
  <si>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 xml:space="preserve">Капітальний ремонт прилеглої території  (замощення та освітлення території) Черкаської Гімназії №9 О.М. Луценка </t>
  </si>
  <si>
    <t xml:space="preserve">Капітальний ремонт прилеглої території (спортивний майданчик) Черкаської загальноосвітньої школи І-ІІІ ст. № 30 ЧМР </t>
  </si>
  <si>
    <t>Капітальний ремонт будівлі (заміна вікон та внутрішніх дверей) Черкаської загальноосвітньої школи І-ІІІ ст. № 30 ЧМР</t>
  </si>
  <si>
    <t>Будівництво контейнерного майданчику для збору ТПВ за адресою вул. Тараскова 13</t>
  </si>
  <si>
    <t>Інші заходи у сфері електротранспорту</t>
  </si>
  <si>
    <t>Капітальний ремонт пішохідної алеї від вул. Героїв Дніпра вздовж житловго будинку № 51 до ЗОШ НВК № 34</t>
  </si>
  <si>
    <t>Капітальний ремонт пішохідної алеї від вул. Кобзарська до вул. Берегова</t>
  </si>
  <si>
    <t>Капітальний ремонт пішохідної алеї від ж/б № 24 по вул. Подолинського до ДНЗ № 60 в м. Черкаси</t>
  </si>
  <si>
    <t>Капітальний ремонт вул. Нарбутівська (тротуар, парна сторона, від вул. Cемеренківська до вул. Подолинського) в м. Черкаси</t>
  </si>
  <si>
    <t>Реконструкція вул. Генерела Момота (перехрестя з вулицями Онопрієнка, Лісова Просіка)</t>
  </si>
  <si>
    <t>Будівництво мережі освітлення в парку-пам'ятці садово-паркового мистецтва місцевого значення "Парк Хіміків" по проспекту Хіміків в м.Черкаси</t>
  </si>
  <si>
    <t>Капітальний ремонт мереж зовнішнього освітлення з встановленням додаткового освітлення пішохідних переходів по вул. Кобзарська в м.Черкаси</t>
  </si>
  <si>
    <t>Капітальний ремонт мереж зовнішнього освітлення з встановленням додаткового освітлення пішохідних переходів по вул. Різдвяна в м.Черкаси</t>
  </si>
  <si>
    <t>Капітальний ремонт мереж зовнішнього освітлення з встановленням додаткового освітлення пішохідних переходів по вул. Руставі  в м.Черкаси</t>
  </si>
  <si>
    <t>Капітальний ремонт мереж зовнішнього освітлення з встановленням додаткового освітлення пішохідних переходів по вул. Сергія Амброса  в м.Черкаси</t>
  </si>
  <si>
    <t xml:space="preserve">Капітальний ремонт мереж зовнішнього освітлення з встановленням додаткового освітлення пішохідних переходів по вул. Юрія Іллєнка  в м.Черкаси </t>
  </si>
  <si>
    <t>Капітальний ремонт мереж зовнішнього освітлення з встановленням додаткового освітлення пішохідних переходів по вул. 30 років Перемоги в м.Черкаси</t>
  </si>
  <si>
    <t>Реконструкція мережі зовнішнього освітлення вул. Святомакаріївська</t>
  </si>
  <si>
    <t>Придбання та встановлення уніфікованої системи позначок туристичних об’єктів інформаційних стендів, вказівників, що вказують напрямок та відстань до об'єктів туристичної інфраструктури (4шт)</t>
  </si>
  <si>
    <t>Капітальний ремонт будівель станції швидкої медичної допомоги по вул. О.Дашковича, 41, 40-42</t>
  </si>
  <si>
    <t>Реконструкція вул.Чайковського від вул.Максима Залізняка до вул.Вячеслава Чорновола м.Черкаси (виготовлення ПКД)</t>
  </si>
  <si>
    <t xml:space="preserve">Капітальний ремонт вул. Гоголя (тротуар, парна сторона, від вул. В.Чорновола до вул. Ю.Іллєнка) в м. Черкаси </t>
  </si>
  <si>
    <t xml:space="preserve">Будівництво мережі зовнішнього освітлення прибудинкової території житлових будинків № 17, 17/1 по вул. Митницька в  м. Черкаси </t>
  </si>
  <si>
    <t xml:space="preserve">Будівництво мережі зовнішнього освітлення прибудинкової території житлових будинків № 180, 182, 184 по вул. Благовісна в  м. Черкаси </t>
  </si>
  <si>
    <t>Будівництво мережі зовнішнього освітлення прибудинкової території житлових будинків № 272 по бульвару Шевченка в  м. Черкаси</t>
  </si>
  <si>
    <t>Капітальний ремонт міжквартального проїзду від вулиці Хоменка до житлового будинку № 1 по вул. Десантників в м.Черкаси (включаючи під'їзд до ДНЗ № 89 "Котигорошко" між будинками № 18 та 18/1 по вул.Хоменка)</t>
  </si>
  <si>
    <t>Реконструкція мережі зовнішнього освітлення вул. Героїв Холодного Яру (від проспекту Хіміків до ПАТ "Азот")</t>
  </si>
  <si>
    <t xml:space="preserve">Капітальний ремонт вул. Благовісна (тротуар, непарна сторона від вул. Митницька до вул. Небесної Сотні) </t>
  </si>
  <si>
    <t xml:space="preserve">Капітальний ремонт вул. Благовісна (тротуар, парна сторона, від вул. Митницька до вул. Небесної Сотні) </t>
  </si>
  <si>
    <t>Реконструкція  мережі зовнішнього освітлення прибудинкової території житлових будинків  №106;  №108; №110 по вул.Чехова в м. Черкаси</t>
  </si>
  <si>
    <t>Придбання та встановлення обладнання для дитячого майданчика у дворі будників по вул. Хрещатик 130, вул. Пушкіна 39 у м.Черкаси</t>
  </si>
  <si>
    <t>Реконструкція контейнерного майданчика для збору ТПВ за адресою вул. Амброса 72</t>
  </si>
  <si>
    <t>Будівництво контейнерного майданчика для збору ТПВ за адресою вул. Амброса 92</t>
  </si>
  <si>
    <t>Будівництво контейнерного майданчика для збору ТПВ за адресою вул. Добровольського 6</t>
  </si>
  <si>
    <t>ПСЕР</t>
  </si>
  <si>
    <t>Баланс</t>
  </si>
  <si>
    <t>доходи</t>
  </si>
  <si>
    <t>залучення</t>
  </si>
  <si>
    <t>субвенція з ОДА</t>
  </si>
  <si>
    <t>Придбання спеціальних засобів корекції психофізичного розвитку, що дають змогу опанувати навчальну програму, для осіб з особливими освітніми потребами, які здобувають освіту в інклюзивних групах закладів дошкільної освіти (за рахунок залишку коштів субвенції з державного бюджету для надання державної підтримки особам з особливими освітніми потребами)</t>
  </si>
  <si>
    <t>Придбання інтерактивної дошки, проектора, ноутбука для СШ № 20</t>
  </si>
  <si>
    <t>Придбання навчального обладнання для закладів загальної середньої освіти</t>
  </si>
  <si>
    <t>Придбання інтерактивної дошки для ЗОШ № 2</t>
  </si>
  <si>
    <t>Придбання ноутбуку для ПНЗ БМЦ ЧМР</t>
  </si>
  <si>
    <t>Придбання принтеру для ПНЗ БМЦ ЧМР</t>
  </si>
  <si>
    <t>Придбання телевізору для ПНЗ БМЦ ЧМР</t>
  </si>
  <si>
    <t>Придбання комплекту наборів для гри в шахи ПНЗ БМЦ ЧМР</t>
  </si>
  <si>
    <t>Придбання спеціальних засобів корекції психофізичного розвитку, що дають змогу опанувати навчальну програму, для осіб з особливими освітніми потребами, які здобувають освіту в спеціальних групах закладів професійної (професійно-технічної) освіти (за рахунок залишку коштів субвенції з державного бюджету для надання державної підтримки особам з особливими освітніми потребами)</t>
  </si>
  <si>
    <t>Придбання музичних інструментів для ДМШ № 1 ім. М.В. Лисенка</t>
  </si>
  <si>
    <t>Придбання музичних інструментів для ДМШ № 2</t>
  </si>
  <si>
    <t>Придбання музичних інструментів для ДМШ № 3</t>
  </si>
  <si>
    <t>Придбання музичних інструментів для ДМШ № 5</t>
  </si>
  <si>
    <t>Придбання музичних інструментів для Дитячої школи мистецтв</t>
  </si>
  <si>
    <t>Реконструкція будівлі ДНЗ № 54</t>
  </si>
  <si>
    <t>Капітальний ремонт прилеглої території ДНЗ № 29</t>
  </si>
  <si>
    <t xml:space="preserve">Реконструкція будівлі (спортивний зал) ЗОШ № 5 </t>
  </si>
  <si>
    <t>Капітальний ремонт будівлі ФІМЛІ ЧМР</t>
  </si>
  <si>
    <t>Капітальний ремонт будівлі (вхідна група) для шахового клубу ПНЗ БМЦ ЧМР</t>
  </si>
  <si>
    <t>Капітальний ремонт будівлі (санітарні вузли) СШ № 20</t>
  </si>
  <si>
    <t>Капітальний ремонт будівлі ЗОШ № 2</t>
  </si>
  <si>
    <t>Реконструкція будівлі ЧМЦБ ім. Лесі Українки</t>
  </si>
  <si>
    <t>Капітальний ремонт будівлі по вул. В.Чорновола, 54/1 для проведеня навчально-тренувальних занять відділень ДЮСШ в м. Черкаси (виготовлення енергетичного сертифікату)</t>
  </si>
  <si>
    <t xml:space="preserve">Капітальний ремонт будівлі КНП "Перша Черкаська міська лікарня" (операційний блок) за адресою м. Черкаси, вул. Дахнівська, 32 </t>
  </si>
  <si>
    <t xml:space="preserve">Капітальний ремонт будівлі КНП "Перша Черкаська міська лікарня" (рентгенівського кабінету № 2) по вул. Дахнівська, 32 м. Черкаси </t>
  </si>
  <si>
    <t>Придбання обладнання і предметів довгострокового користування для КНП "Друга Черкаська міська лікарня відновного лікування"</t>
  </si>
  <si>
    <t>Капітальний ремонт будівлі КНП «Друга Черкаська міська лікарня відновного лікування» (встановлення протипожежної  сигналізації)</t>
  </si>
  <si>
    <t>Придбання проектора з екраном для КП "МСК "Дніпро" вул.Смілянська, 78</t>
  </si>
  <si>
    <t>Придбання відеокамери для КП "МСК "Дніпро" вул.Смілянська, 78</t>
  </si>
  <si>
    <t>Придбання комп'ютерної, копіювальної та іншої оргтехніки для КП "МСК "Дніпро" вул.Смілянська, 78</t>
  </si>
  <si>
    <t>Будівництво стадіону в районі вул. М. Грушевського та вул. Добровольчих батальйонів в м. Черкаси (з ПКД)</t>
  </si>
  <si>
    <t xml:space="preserve">Капітальний ремонт будівлі спортивного комплексу з басейном (плавальний басейн) КП «МСК "Дніпро" вул. Смілянська, 78 м.Черкаси (з ПКД) </t>
  </si>
  <si>
    <t>Придбання переносних трибун в ігровий зал  КП «МСК "Дніпро"» вул. Смілянська, 78</t>
  </si>
  <si>
    <t xml:space="preserve">Придбання багатофункціонального електронного табло ТВ 23-2 для  КП «МСК "Дніпро"» вул. Смілянська, 78 </t>
  </si>
  <si>
    <t>Придбання лічильників води ДУ 80 обладнаних радіомодулем  для  КП «МСК "Дніпро"» вул. Смілянська, 78</t>
  </si>
  <si>
    <t>Будівництво мультифункціонального майданчика для занять ігровими видами спорту за адресою: вулиця Героїв Дніпра в м. Черкаси</t>
  </si>
  <si>
    <t>0619770</t>
  </si>
  <si>
    <t>Інші субвенції з місцевого бюджету</t>
  </si>
  <si>
    <t>Надання субвенції з місцевого бюджету на придбання сценічних костюмів капелі бандуристів комунального закладу «Об’єднання художніх колективів» Черкаської обласної ради» для участі у відкритому міському фестивалі бандурного мистецтва «Cherkasy Bandura Music Fest»</t>
  </si>
  <si>
    <t>Придбання обладнання і предметів довгострокового користування (комп’ютерна техніка, оргтехніка, кондиціонери, реабілітаційне обладнання) для центру комплексної реабілітації для осіб з інвалідністю «Жага життя»</t>
  </si>
  <si>
    <t>Придбання та встановлення обладнання для дитячого майданчика за адресою вул. Хрещатик 55 у м.Черкаси</t>
  </si>
  <si>
    <t>Капітальний ремонт будівлі по вул. Хоменка, 19 в м. Черкаси</t>
  </si>
  <si>
    <t>Будівництво мережі зовнішнього освітлення пішохідної алеї по вул. Менделєєва</t>
  </si>
  <si>
    <t>Будівництво мережі зовнішнього освітлення велодоріжки по вул. Менделєєва</t>
  </si>
  <si>
    <t>Капітальний ремонт житлового будинку по вул. Благовісна, 180 (покрівля)</t>
  </si>
  <si>
    <t>Розробка детального плану території Замкового узвозу</t>
  </si>
  <si>
    <t>Реконструкція вул. Гагаріна від вул. С.Жужоми до вул. С.Смірнова м. Черкаси</t>
  </si>
  <si>
    <t>1619770</t>
  </si>
  <si>
    <t>Субвенція обласному бюджету на об'єкт "Реконструкція Черкаського академічного обласного українського музично-драматичного театру імені Т.Г. Шевченка по бульв. Шевченка, 234 у м. Черкасах з метою ліквідації наслідків надзвичайної ситуації техногенного характеру внаслідок пожежі, яка сталася 01.07.2015 в приміщенні театру. ІІ черга"</t>
  </si>
  <si>
    <t>3719800</t>
  </si>
  <si>
    <t>Субвенція з місцевого бюджету державному бюджету на виконання програм соціально-економічного розвитку регіонів</t>
  </si>
  <si>
    <t xml:space="preserve">Програма здійснення додаткових заходів із мобілізації коштів до міського бюджету та поліпшення умов надання адміністративних та інших послуг громаді міста на 2019-2021 роки (придбання комп'ютерної та оргтехніки, технічного оснащення ЦОП) </t>
  </si>
  <si>
    <t>Придбання спортивних товарів та інвентарю для ДЮСШ м. Черкаси (в т.ч. субвенція з державного бюджету на соціально-економічний розвиток - 173 830,39 грн)</t>
  </si>
  <si>
    <t>Капітальний ремонт прилеглої території (спортивний майданчик) Черкаської спеціалізованої школи І-ІІІ ступенів № 13 Черкаської міської ради за адресою вул. Гетьмана Сагайдачного, 146 в м. Черкаси (в т.ч. субвенція з державного бюджету на соціально-економічний розвиток - 8 010,66 грн)</t>
  </si>
  <si>
    <t>Капітальний ремонт прилеглої території (спортивний майданчик) Черкаської загальноосвітньої школи І-ІІІ ступенів № 22 Черкаської міської ради за адресою вул. Кобзарська, 108 в м. Черкаси (в т.ч. субвенція з державного бюджету на соціально-економічний розвиток - 1 181,79 грн)</t>
  </si>
  <si>
    <t>Капітальний ремонт прилеглої території (спортивний майданчик) Черкаської загальноосвітньої школи І-ІІІ ступенів № 25 Черкаської міської ради за адресою вул. Нарбутівська, 206 в м. Черкаси (в т.ч. субвенція з державного бюджету на соціально-економічний розвиток - 895,63 грн)</t>
  </si>
  <si>
    <t>Реконструкція прилеглої території (покриття синтетична трава) Черкаської гімназії № 31 за адресою вул. Героїв Дніпра, 27 Черкаської міської ради в м. Черкаси (в т.ч. субвенція з державного бюджету на соціально-економічний розвиток - 1 171,85 грн)</t>
  </si>
  <si>
    <t>Придбання кріосауни для КП "МСК "Дніпро" ЧМР</t>
  </si>
  <si>
    <t>Придбання комплекту обладнання "смуга перешкод" для КП "МСК "Дніпро" ЧМР</t>
  </si>
  <si>
    <t>Придбання пресу прасувального для КП "МСК "Дніпро" вул.Смілянська, 78</t>
  </si>
  <si>
    <t>Придбання пральної машини для КП "МСК "Дніпро" вул.Смілянська, 78</t>
  </si>
  <si>
    <t>Придбання машини для сушки постільної білизни для КП "МСК "Дніпро" вул.Смілянська, 78</t>
  </si>
  <si>
    <t>Придбання автобуса для КП "МСК "Дніпро"</t>
  </si>
  <si>
    <t>Внески в статутний капітал  КП "МСК "Дніпро", в т.ч.:</t>
  </si>
  <si>
    <t>Капітальний ремонт системи опалення житлового будинку (встановлення циркуляційного насосу з погодозалежним регулятором температури) по вул. В. Чорновола, 9, м. Черкаси</t>
  </si>
  <si>
    <t>Капітальний ремонт прибудинкової території житлового будинку по вул. В. Чорновола, 122/41 в м. Черкаси</t>
  </si>
  <si>
    <t>Будівництво контейнерного майданчику для збору ТПВ за адресою вул. Нечую Левицького, 2</t>
  </si>
  <si>
    <t>Придбання та монтаж спортивного ігрового майданчика м. Черкаси, вул. Сумгаїтська 51 (в т.ч. субвенція з державного бюджету на соціально-економічний розвиток - 38 488,35 грн)</t>
  </si>
  <si>
    <t>Капітальний ремонт вул. Десантників (тротуар, парна, непарна сторона) від  вул. Вернигори до вул. Хоменка</t>
  </si>
  <si>
    <t>Капітальний ремонт вул. Гоголя (тротуар, парна та непарна сторона, від вул. Казбетська до вул. Крилова)</t>
  </si>
  <si>
    <t>Капітальний ремонт дитячого та спортивного майданчиків  у дворі будинку по вул. Героїв Дніпра, 69, м. Черкаси</t>
  </si>
  <si>
    <t>Реконструкція бул. Шевченка від вул. Лазарєва до вул. Б.Вишневецького м. Черкаси</t>
  </si>
  <si>
    <t>Капітальний ремонт бульв. Шевченка від вул. Університетської до вул. Можайського</t>
  </si>
  <si>
    <t>Реконструкція вул. Новопречистенська від вул. Гетьмана Сагайдачного до вул. С. Амброса в м. Черкаси (виготовлення ПКД)</t>
  </si>
  <si>
    <t>Капітальний ремонт  внутрішньоквартального проїзду по вул. Гетьмана Сагайдачного  від буд. 243 до  вул. Подолинського, 24 м. Черкаси</t>
  </si>
  <si>
    <t>Реконструкція прилеглої території (благоустрій) ДНЗ № 22</t>
  </si>
  <si>
    <t>Придбання мультимедійної дошки, проектора, телевізора для ЗОШ №21</t>
  </si>
  <si>
    <t>0617361</t>
  </si>
  <si>
    <t>Співфінансування інвестиційних проектів, що реалізуються за рахунок коштів державного фонду регіонального розвитку</t>
  </si>
  <si>
    <t>Будівництво стадіону (футбольного поля із поліуретановим покриттям розміром 60x40 м, легкоатлетичними доріжками, трибунами та освітленням) у Черкаській загальноосвітній школі І-ІІІ ступенів №29 Черкаської міської ради Черкаської області, за адресою: вул. Карбишева, 5 м.Черкаси</t>
  </si>
  <si>
    <t>Придбання обладнання і предметів довгострокового користування (медичне обладнання) для КНП "Черкаська міська інфекційна лікарня"</t>
  </si>
  <si>
    <t>Будівництво контейнерного майданчика для збору ТПВ по вул. Генерала Момота, 7, 9, 11</t>
  </si>
  <si>
    <t>Реконструкція мережі водопостачання в районі будинків № 162-170 по вулиці Грушевського</t>
  </si>
  <si>
    <t>Капітальний ремонт парку "Європейський" (благоустрій території)</t>
  </si>
  <si>
    <t>Будівництво локальних очисних споруд для очищення зливових (дощових) та талих вод на витоку по вул. Університетської в м. Черкаси</t>
  </si>
  <si>
    <t>Придбання дорожнього пилосмоку</t>
  </si>
  <si>
    <t>Надання субвенції з місцевого бюджету 2-му державному пожежно-рятувальному загону УДСНС України у Черкаській області для придбання  костюмів спеціальних захисних для пожежних</t>
  </si>
  <si>
    <t>1218110</t>
  </si>
  <si>
    <t>Заходи із запобігання та ліквідації надзвичайних ситуацій та наслідків стихійного лиха</t>
  </si>
  <si>
    <t>Придбання оприскувачів (бензинових)</t>
  </si>
  <si>
    <t xml:space="preserve">Придбання системи відеоспостереження з можливістю дистанційного скринінгу температури </t>
  </si>
  <si>
    <t>Капітальний ремонт будівлі ДНЗ № 91 (мощення, тротуарна плитка)</t>
  </si>
  <si>
    <t>Придбання обладнання і предметів довгострокового користування (медичне обладнання) для КНП "Черкаська міська інфекційна лікарня" (за рахунок субвенції з обласного бюджету на покращення матеріально-технічного стану закладів охорони здоров'я області - 91 000,00 грн)</t>
  </si>
  <si>
    <t>Внески в статутний капітал  КНП "Черкаська міська дитяча лікарня", в т.ч.:</t>
  </si>
  <si>
    <t>Придбання обладнання і предметів довгострокового користування (медичне обладнання) для КНП "Черкаська міська дитяча лікарня" (за рахунок субвенції з обласного бюджету на покращення матеріально-технічного стану закладів охорони здоров'я області - 234 000,00 грн)</t>
  </si>
  <si>
    <t>Придбання обладнання і предметів довгострокового користування (медичне обладнання) для КНП «Черкаська міська дитяча лікарня»</t>
  </si>
  <si>
    <t>Внески в статутний капітал КНП "Черкаський міський пологовий будинок "Центр матері та дитини", в т.ч.:</t>
  </si>
  <si>
    <t>Придбання обладнання  і предметів довгострокового користування (медичне обладнання) для КНП "Черкаський міський пологовий будинок "Центр матері та дитини"</t>
  </si>
  <si>
    <t>Капітальний ремонт прилеглої території (укладання тротуарної плитки) по бул. Шевченка, 307</t>
  </si>
  <si>
    <t>Капітальний ремонт нежитлової будівлі комунальної власності (художнє освітлення будівлі за адресою вул. Хрещатик, 259)</t>
  </si>
  <si>
    <t>Придбання обладнання  і предметів довгострокового користування (комп'ютерне обладнання, медичне обладнання)  для КНП "Перша Черкаська міська лікарня" з них:</t>
  </si>
  <si>
    <t>на боротьбу з COVID-19</t>
  </si>
  <si>
    <t>Придбання обладнання  і предметів довгострокового користування (комп'ютерне обладнання, сервер,  медичне обладнання) для КНП "Третя Черкаська міська лікарня швидкої медичної допомоги" (за рахунок залишку коштів субвенції на здійснення переданих видатків у сфері охорони здоров’я за рахунок коштів медичної субвенції - 1 199 509,70 грн), з них:</t>
  </si>
  <si>
    <t>Придбання генератора</t>
  </si>
  <si>
    <t>Придбання лампи ЛБВК</t>
  </si>
  <si>
    <t>Придбання конструкцій "Муляж пішохода"</t>
  </si>
  <si>
    <t>Придбання спеціальних засобів корекції психофізичного розвитку, що дають змогу опанувати навчальну програму, для осіб з особливими освітніми потребами, які здобувають освіту в інклюзивних групах закладів дошкільної освіти (за рахунок субвенції з державного бюджету для надання державної підтримки особам з особливими освітніми потребами)</t>
  </si>
  <si>
    <t>Придбання спеціальних засобів корекції психофізичного розвитку, що дають змогу опанувати навчальну програму, для осіб з особливими освітніми потребами, які здобувають освіту в інклюзивних класах закладів загальної середньої освіти (за рахунок субвенції з державного бюджету для надання державної підтримки особам з особливими освітніми потребами)</t>
  </si>
  <si>
    <t>Придбання комп'ютерного обладнання для початкових класів закладів загальної середньої освіти згідно з типовим переліком, затвердженим МОН (в т.ч. за рахунок субвенції з державного бюджету для забезпечення якісної, сучасної та доступної загальної середньої освіти «Нова українська школа» - 680 696,00 грн)</t>
  </si>
  <si>
    <t>Придбання обладнання, інвентарю для фізкультурно-спортивних приміщень, засобів навчання, у тому числі навчально-методичної та навчальної літератури, для закладів загальної середньої освіти, що беруть участь у експерименті з реалізації Державного стандарту початкової школи згідно з типовим переліком, затвердженим МОН (за рахунок субвенції з державного бюджету для забезпечення якісної, сучасної та доступної загальної середньої освіти «Нова українська школа»)</t>
  </si>
  <si>
    <t>Придбання  обладнання для лінгафонних кабінетів з програмним забезпеченням  для ГПЛ ЧМР (за рахунок субвенції з обласного бюджету на виконання обласної програми впровадження у навчально-виховний процес загальноосвітніх навчальних закладів інформаційно-комунікаційних технологій "Сто відсотків" на період до 2021 року - 150,0 тис.грн)</t>
  </si>
  <si>
    <t>Придбання  обладнання для лінгафонних кабінетів з програмним забезпеченням  для гімназії №31 ЧМР (за рахунок субвенції з обласного бюджету на виконання обласної програми впровадження у навчально-виховний процес загальноосвітніх навчальних закладів інформаційно-комунікаційних технологій "Сто відсотків" на період до 2021 року - 150,0 тис.грн)</t>
  </si>
  <si>
    <t>Придбання шкільних наборів LEGO з програмним забезпеченням для СЮТ ЧМР  (за рахунок субвенції з обласного бюджету на виконання обласної програми підвищення якості шкільної природничо-математичної освіти на період до 2021 року - 250,0 тис.грн)</t>
  </si>
  <si>
    <t>Реконструкція будівлі Першої міської гімназії Черкаської міської ради за адресою: вул. Святотроїцька, 68 м. Черкаси (в т.ч. субвенція з державного бюджету на соціально-економічний розвиток – 1 643 108,00 грн)</t>
  </si>
  <si>
    <t>0717363</t>
  </si>
  <si>
    <t>Реконструкція будівлі комунального некомерційного підприємства «Третя Черкаська міська лікарня швидкої медичної допомоги» за адресою: вул. Самійла Кішки, 210 в м. Черкаси (приймального відділення з добудовою відділення екстреної медичної допомоги) (в т.ч. субвенція з державного бюджету на соціально-економічний розвиток – 6 053 279,00 грн)</t>
  </si>
  <si>
    <t>Придбання медичного обладнання (гастроскоп) для комунального некомерційного підприємства «Третя Черкаська міська лікарня швидкої медичної допомоги» за адресою: вул. Самійла Кішки, 210 в м. Черкаси (в т.ч. субвенція з державного бюджету на соціально-економічний розвиток – 2 652 000,00 грн)</t>
  </si>
  <si>
    <t>Придбання принтера для ДНЗ №60 "Ялинка-веселинка"ЧМР</t>
  </si>
  <si>
    <t>Придбання мультимедійних комплексів для ГПЛ ЧМР</t>
  </si>
  <si>
    <t>Придбання інтерактивних дошок для ФІМЛІ</t>
  </si>
  <si>
    <t>Придбання павільйону для Клубу юних моряків з флотилією</t>
  </si>
  <si>
    <t xml:space="preserve">Придбання обладнання і предметів довгострокового користування </t>
  </si>
  <si>
    <t>0611180</t>
  </si>
  <si>
    <t>Виконання заходів в рамках реалізації програми "Спроможна школа для кращих результатів"</t>
  </si>
  <si>
    <t>Реконструкція будівлі (харчоблок) Черкаської спеціалізованої школи І-ІІІ ступенів №18 імені Вячеслава Чорновола Черкаської міської ради Черкаської області (молодша) за адресою: м.Черкаси вул. Самійла Кішки, 185/3</t>
  </si>
  <si>
    <t>Придбання Євро-щитів  FITA для комплексної дитячо-юнацької  спортивної школи № 2 ЧМР</t>
  </si>
  <si>
    <t>Придбання системи кондиціонування повітря для КДЮСШ "Вікторія" (зал дзюдо)</t>
  </si>
  <si>
    <t xml:space="preserve"> Капітальний ремонт прилеглої території ДНЗ №5</t>
  </si>
  <si>
    <t>Капітальний ремонт будівлі (санвузли) ДНЗ № 5</t>
  </si>
  <si>
    <t xml:space="preserve"> Капітальний ремонт будівлі (заміна вікон) ДНЗ №5 </t>
  </si>
  <si>
    <t>Реконструкція прилеглої території (футбольне поле) Гімназія №9</t>
  </si>
  <si>
    <t>Капітальний ремонт приміщень ДНЗ №43 (груповий осередок)</t>
  </si>
  <si>
    <t>Капітальний ремонт прилеглої території (мощення) Перша міська гімназія</t>
  </si>
  <si>
    <t>Капітальний ремонт будівлі (влаштування автоматичної системи пожежної сигналізації та оповіщення, автоматичної системи пожежогасіння ) ДНЗ № 43</t>
  </si>
  <si>
    <t>Капітальний ремонт будівлі (влаштування автоматичної системи пожежної сигналізації та оповіщення, автоматичної системи пожежогасіння ) ДНЗ № 46</t>
  </si>
  <si>
    <t>Капітальний ремонт будівлі (влаштування автоматичної системи пожежної сигналізації та оповіщення, автоматичної системи пожежогасіння ) ДНЗ № 31</t>
  </si>
  <si>
    <t>Капітальний ремонт будівлі (влаштування автоматичної системи пожежної сигналізації та оповіщення, автоматичної системи пожежогасіння ) ДНЗ № 54</t>
  </si>
  <si>
    <t>Капітальний ремонт будівлі (влаштування автоматичної системи пожежної сигналізації та оповіщення, автоматичної системи пожежогасіння ) ДНЗ № 61</t>
  </si>
  <si>
    <t>Будівництво стадіону (футбольного поля із поліуретановим покриттям розміром 60х40м, легкоатлетичними доріжками, трибунами та освітленням) у колегіумі "Берегиня" Черкаської міської ради Черкаської області за адресою: вул. Хоменка 14/1 м. Черкаси</t>
  </si>
  <si>
    <t>Капітальний ремонт будівлі (харчоблок) ДНЗ № 83</t>
  </si>
  <si>
    <t>Капітальний ремонт будівлі (внутрішні мережі опалення) ДНЗ № 83</t>
  </si>
  <si>
    <t>Капітальний ремонт будівлі (внутрішні мережі опалення) ДНЗ № 73</t>
  </si>
  <si>
    <t>Капітальний ремонт будівлі (внутрішні мережі опалення) ЗОШ № 24</t>
  </si>
  <si>
    <t>Капітальний ремонт прилеглої території ЗОШ № 24</t>
  </si>
  <si>
    <t>Капітальний ремонт будівлі (утеплення фасаду) ЗОШ № 24</t>
  </si>
  <si>
    <t>Реконструкція будівлі (фасад) ДНЗ № 73</t>
  </si>
  <si>
    <t xml:space="preserve">Реконструкція будівлі (санвузли) дошкільного навчального закладу (ясла-садок) №50 "Світлофорчик" Черкаської міської ради по вул. Верхня Горова, 65 в м.Черкаси </t>
  </si>
  <si>
    <t>Надання субвенції з місцевого бюджету на придбання звукового обладнання для комунального закладу "Черкаська обласна філармонія" Черкаської обласної ради</t>
  </si>
  <si>
    <t xml:space="preserve">Капітальний ремонт будівель КНП "Черкаська міська інфекційна лікарня" (блок інтенсивної терапії) </t>
  </si>
  <si>
    <t>Капітальний ремонт (кабельна система передачі даних для створення внутрішньої мережі) КНП "Третя Черкаська міська лікарня швидкої медичної допомоги" за адресою: м. Черкаси, вул. Самійла Кішки, 210</t>
  </si>
  <si>
    <t>Капітальний ремонт мережі лікувального газопостачання в КНП "Третя Черкаська міська лікарня швидкої медичної допомоги" по вул. Самійла Кішки, 210, м. Черкаси (розробка ПКД)</t>
  </si>
  <si>
    <t>Капітальний ремонт будівлі КНП "Третя Черкаська міська лікарня швидкої медичної допомоги" по вул. Самійла Кішки, 210 в м. Черкаси (кардіологічне відділення)</t>
  </si>
  <si>
    <t>0813221</t>
  </si>
  <si>
    <t xml:space="preserve">Грошова компенсація за належні для отримання жилі приміщення для сімей осіб, визначених абзацами 5 - 8 пункту 1 статті 10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 пунктами 11 - 14 частини другої статті 7 Закону України "Про статус ветеранів війни, гарантії їх соціального захисту", та які потребують поліпшення житлових умов </t>
  </si>
  <si>
    <t>Грошова компенсація за належні для отримання жилі приміщення для сімей осіб, визначених абзацами 5 - 8 пункту 1 статті 10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"Про статус ветеранів війни, гарантії їх соціального захисту", та які потребують поліпшення житлових умов</t>
  </si>
  <si>
    <t>0813222</t>
  </si>
  <si>
    <t xml:space="preserve">Грошова компенсація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III групи відповідно до пунктів 11 - 14 частини другої статті 7 або учасниками бойових дій відповідно до пунктів 19 - 20 частини першої статті 6 Закону України "Про статус ветеранів війни, гарантії їх соціального захисту", та які потребують поліпшення житлових умов </t>
  </si>
  <si>
    <t>Грошова компенсація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III групи відповідно до пунктів 11 - 14 частини другої статті 7 або учасниками бойових дій відповідно до пунктів 19 - 20 частини першої статті 6 Закону України "Про статус ветеранів війни, гарантії їх соціального захисту", та які потребують поліпшення житлових умов</t>
  </si>
  <si>
    <t>0813223</t>
  </si>
  <si>
    <t xml:space="preserve">Грошова компенсація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«Про статус ветеранів війни, гарантії їх соціального захисту», для осіб з інвалідністю I-II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пов’язаних з перебуванням у цих державах, визначених пунктом 7 частини другої статті 7 Закону України «Про статус ветеранів війни, гарантії їх соціального захисту», та які потребують поліпшення житлових умов </t>
  </si>
  <si>
    <t>Грошова компенсація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«Про статус ветеранів війни, гарантії їх соціального захисту», для осіб з інвалідністю I-II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пов’язаних з перебуванням у цих державах, визначених пунктом 7 частини другої статті 7 Закону України «Про статус ветеранів війни, гарантії їх соціального захисту</t>
  </si>
  <si>
    <t>Придбання обладнання і предметів довгострокового користування</t>
  </si>
  <si>
    <t>Капітальний ремонт скверу "Весна"</t>
  </si>
  <si>
    <t>Капітальний ремонт площі "Слави"</t>
  </si>
  <si>
    <t>Капітальний ремонт теплових мереж та мереж гарячого водопостачання від ТК-46-8-5 до житлових будинків по вул. Гагаріна, 75 та вул. Гагаріна, 79 в м. Черкаси</t>
  </si>
  <si>
    <t>Капітальний ремонт теплових мереж від ТК-8-2-5 до житлових будинків по бул. Шевченка, 336  та  бул. Шевченка, 338, а також теплової мережі  від ТК-8-2-6 до житлового будинку по бул. Шевченка, 334 в м. Черкаси</t>
  </si>
  <si>
    <t>Реконструкція теплової мережі до житлових будинків по вул. Героїв Дніпра, 61, 63 в м. Черкаси</t>
  </si>
  <si>
    <t>1218312</t>
  </si>
  <si>
    <t xml:space="preserve">Придбання екскаватора-навантажувача типу JCB або його аналог </t>
  </si>
  <si>
    <t>Капітальний ремонт зовнішньої мережі теплопостачання будівлі станції швидкої допомоги по вул.Остафія Дашковича, 41, 40-42</t>
  </si>
  <si>
    <t>2319800</t>
  </si>
  <si>
    <t>Надання субвенції Головному управлінню Національної поліції в Черкаській області на придбання обладнання для співфінансування обласної Програми профілактики та протидії злочинності у Черкаській області на 2020-2024 роки "Безпечна Черкащина"</t>
  </si>
  <si>
    <t>Внески в статутний капітал КНП "Черкаська міська інфекційна лікарня", в т.ч.:</t>
  </si>
  <si>
    <t>Реконструкція будівлі комунального некомерційного підприємства «Третя Черкаська міська лікарня швидкої медичної допомоги» за адресою: вул. Самійла Кішки, 210 в м. Черкаси (приймального відділення з добудовою відділення екстреної медичної допомоги) (в т.ч. субвенція з місцевого бюджету на реалізацію проектів з реконструкції, капітального ремонту приймальних відділень в опорних закладах охорони здоров'я у госпітальних округах – 6 936 781,00 грн)</t>
  </si>
  <si>
    <t>0816083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</si>
  <si>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</si>
  <si>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Придбання соціального житла та/або виплата грошової компенсації за належні для отримання житлові приміщення для осіб з числа дітей сиріт (за рахунок субвенції з державного бюджету місцевим бюджетам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числа)</t>
  </si>
  <si>
    <t>Придбання туалету в Парк "Перемоги"</t>
  </si>
  <si>
    <t>Придбання м'ясорубки для дошкільного навчального закладу (ясла-садок)  №22 "Жайворонок" Черкаської міської  ради</t>
  </si>
  <si>
    <t>Придбання обладнання для харчоблоку Черкаський колегіум "Берегиня" Черкаської міської ради (за рахунок субвенції з місцевого бюджету за рахунок залишку коштів освітньої субвенції, що утворився на початок бюджетного періоду – 41 410,00 грн)</t>
  </si>
  <si>
    <t>Придбання обладнання для харчоблоку Черкаської спеціалізованої школи І-ІІІ ступенів № 28 імені Т.Г.Шевченка Черкаської міської ради (за рахунок субвенції з місцевого бюджету за рахунок залишку коштів освітньої субвенції, що утворився на початок бюджетного періоду – 89 150,00 грн)</t>
  </si>
  <si>
    <t>Придбання обладнання для харчоблоку Черкаської загальноосвітньої школи І-ІІІ ступенів № 32 Черкаської міської ради (за рахунок субвенції з місцевого бюджету за рахунок залишку коштів освітньої субвенції, що утворився на початок бюджетного періоду – 171 500,00 грн)</t>
  </si>
  <si>
    <t>Придбання обладнання для харчоблоку Черкаської спеціалізованої школи І-ІІІ ступенів № 33 імені В.Симоненка Черкаської міської ради (за рахунок субвенції з місцевого бюджету за рахунок залишку коштів освітньої субвенції, що утворився на початок бюджетного періоду – 109 700,00 грн)</t>
  </si>
  <si>
    <t>Придбання обладнання для створення навчально-практичного центру сучасної професійної (професійно-технічної) освіти сучасних зварювальних технологій на базі ДНЗ «Черкаський професійний ліцей» (тому числі за рахунок субвенції  з державного бюджету місцевим бюджетам на створення навчально-практичних центрів сучасної професійної (професійно-технічної) освіти -1217,9 тис.грн)</t>
  </si>
  <si>
    <t>Реконструкція приміщень для створення навчально-практичного центру сучасної професійної (професійно-технічної) освіти сучасних зварювальних технологій на базі ДНЗ «Черкаський професійний ліцей» (за рахунок субвенції  з державного бюджету місцевим бюджетам на створення навчально-практичних центрів сучасної професійної (професійно-технічної) освіти)</t>
  </si>
  <si>
    <t>Капітальний ремонт приміщень (груповий осередок) дошкільного навчального закладу (ясла-садок) комбінованого типу № 43 "Морська хвиля" Черкаської міської  ради</t>
  </si>
  <si>
    <t xml:space="preserve">Реконструкція будівлі (бібліотека) Гімназії №9  (виготовлення ПКД) </t>
  </si>
  <si>
    <t>Капітальний ремонт будівлі ДНЗ № 91</t>
  </si>
  <si>
    <t>Реконструкція будівлі КНП "Черкаська міська інфекційна лікарня" (засклена галерея) за адресою: місто Черкаси, вул. Самійла Кішки, 210/1 (розробка ПКД)</t>
  </si>
  <si>
    <t>Капітальний ремонт будівлі КНП "Четвертий Черкаський міський центр первинної медико-санітарної допомоги" (облаштування пандуса)</t>
  </si>
  <si>
    <t>0717369</t>
  </si>
  <si>
    <t>Реалізація проектів з реконструкції, капітального ремонту приймальних відділень в опорних закладах охорони здоров'я у госпітальних округах</t>
  </si>
  <si>
    <t>Капітальний ремонт контактної мережі по вул. Генерала Момота</t>
  </si>
  <si>
    <t>Капітальний ремонт огороджуючих конструкцій з заміною вікон котельні по вул. Різдвяна, 35 в м. Черкаси</t>
  </si>
  <si>
    <t>Придбання перетворювачів частоти (в комплекті з комутаційною апаратурою)</t>
  </si>
  <si>
    <t>Будівництво багатофункціонального Палацу спорту для ігрових видів спорту, м. Черкаси, мікрорайон Перемога – 2 по вул. Олени Теліги та вул. Академіка Корольова (виготовлення ПКД)</t>
  </si>
  <si>
    <t>Розробка містобудівної документації "Детальний план території в межах вулиць Гетьмана Сагайдачного, Пацаєва, Симиренківської, Чайковського, Різдвяної, Бидгощської, проспекту Хіміків в місті Черкаси"</t>
  </si>
  <si>
    <r>
      <t xml:space="preserve">Проведення експертної грошової оцінки земельних ділянок
</t>
    </r>
    <r>
      <rPr>
        <i/>
        <sz val="12"/>
        <rFont val="Times New Roman"/>
        <family val="1"/>
      </rPr>
      <t>Програма розвитку земельних відносин та використання і охорони  земель в м. Черкаси на 2019-2023 роки</t>
    </r>
  </si>
  <si>
    <t>Капітальний ремонт зовнішньої мережі водовідведення до будівель (літ.В-2 та літ.Б-2) майнового комплексу по вул. Благовісна, 170</t>
  </si>
  <si>
    <t>Придбання обладнання  і предметів довгострокового користування (комп'ютерна техніка)</t>
  </si>
  <si>
    <t>Капітальний ремонт,  реконструкція житлового фонду  (крім ОСББ) (Програма співфінансування  капітального ремонту та реконструкції багатоквартирних житлових  будинків та їх прибудинкових територій (крім ОСББ) у місті Черкаси на 2019-2022 роки), з них:</t>
  </si>
  <si>
    <t>Капітальний ремонт мереж зовнішнього освітлення з встановленням додаткового освітлення пішохідних переходів згідно з переліком, затвердженим рішенням виконавчого комітету № 217 від 03.03.2020</t>
  </si>
  <si>
    <t>Інформаційні стели меморіального комплексу пам'яті учасників АТО в м. Черкаси (виготовлення та встановлення)</t>
  </si>
  <si>
    <t>Профінансовано на 30.10.2020</t>
  </si>
  <si>
    <t>Залишок призначень до плану річного плану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</si>
</sst>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000000"/>
    <numFmt numFmtId="194" formatCode="#,##0.00_ ;[Red]\-#,##0.00\ "/>
    <numFmt numFmtId="195" formatCode="#,##0\ &quot;грн.&quot;;\-#,##0\ &quot;грн.&quot;"/>
    <numFmt numFmtId="196" formatCode="#,##0\ &quot;грн.&quot;;[Red]\-#,##0\ &quot;грн.&quot;"/>
    <numFmt numFmtId="197" formatCode="#,##0.00\ &quot;грн.&quot;;\-#,##0.00\ &quot;грн.&quot;"/>
    <numFmt numFmtId="198" formatCode="#,##0.00\ &quot;грн.&quot;;[Red]\-#,##0.00\ &quot;грн.&quot;"/>
    <numFmt numFmtId="199" formatCode="_-* #,##0\ &quot;грн.&quot;_-;\-* #,##0\ &quot;грн.&quot;_-;_-* &quot;-&quot;\ &quot;грн.&quot;_-;_-@_-"/>
    <numFmt numFmtId="200" formatCode="_-* #,##0\ _г_р_н_._-;\-* #,##0\ _г_р_н_._-;_-* &quot;-&quot;\ _г_р_н_._-;_-@_-"/>
    <numFmt numFmtId="201" formatCode="_-* #,##0.00\ &quot;грн.&quot;_-;\-* #,##0.00\ &quot;грн.&quot;_-;_-* &quot;-&quot;??\ &quot;грн.&quot;_-;_-@_-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#,##0.0000"/>
    <numFmt numFmtId="207" formatCode="#,##0.0\ _г_р_н_."/>
    <numFmt numFmtId="208" formatCode="_-* #,##0.00&quot;р.&quot;_-;\-* #,##0.00&quot;р.&quot;_-;_-* \-??&quot;р.&quot;_-;_-@_-"/>
    <numFmt numFmtId="209" formatCode="_-* #,##0.00\ _р_._-;\-* #,##0.00\ _р_._-;_-* &quot;-&quot;??\ _р_._-;_-@_-"/>
    <numFmt numFmtId="210" formatCode="_-* #,##0.00_р_._-;\-* #,##0.00_р_._-;_-* \-??_р_._-;_-@_-"/>
    <numFmt numFmtId="211" formatCode="0.00000"/>
    <numFmt numFmtId="212" formatCode="0.0000"/>
  </numFmts>
  <fonts count="42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10"/>
      <name val="Calibri"/>
      <family val="2"/>
    </font>
    <font>
      <sz val="10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2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b/>
      <sz val="18"/>
      <color indexed="62"/>
      <name val="Cambria"/>
      <family val="2"/>
    </font>
    <font>
      <sz val="12"/>
      <name val="UkrainianPragmatica"/>
      <family val="0"/>
    </font>
    <font>
      <b/>
      <sz val="11"/>
      <name val="Times New Roman"/>
      <family val="1"/>
    </font>
    <font>
      <b/>
      <sz val="9"/>
      <name val="Times New Roman"/>
      <family val="1"/>
    </font>
    <font>
      <i/>
      <sz val="12"/>
      <name val="Times New Roman"/>
      <family val="1"/>
    </font>
    <font>
      <sz val="11"/>
      <color theme="1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6" borderId="0" applyNumberFormat="0" applyBorder="0" applyAlignment="0" applyProtection="0"/>
    <xf numFmtId="0" fontId="5" fillId="18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4" fillId="0" borderId="0">
      <alignment/>
      <protection/>
    </xf>
    <xf numFmtId="0" fontId="21" fillId="0" borderId="0">
      <alignment/>
      <protection/>
    </xf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8" borderId="0" applyNumberFormat="0" applyBorder="0" applyAlignment="0" applyProtection="0"/>
    <xf numFmtId="0" fontId="5" fillId="12" borderId="0" applyNumberFormat="0" applyBorder="0" applyAlignment="0" applyProtection="0"/>
    <xf numFmtId="0" fontId="5" fillId="23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13" borderId="1" applyNumberFormat="0" applyAlignment="0" applyProtection="0"/>
    <xf numFmtId="0" fontId="7" fillId="13" borderId="1" applyNumberFormat="0" applyAlignment="0" applyProtection="0"/>
    <xf numFmtId="0" fontId="8" fillId="24" borderId="2" applyNumberFormat="0" applyAlignment="0" applyProtection="0"/>
    <xf numFmtId="0" fontId="8" fillId="24" borderId="2" applyNumberFormat="0" applyAlignment="0" applyProtection="0"/>
    <xf numFmtId="0" fontId="8" fillId="24" borderId="2" applyNumberFormat="0" applyAlignment="0" applyProtection="0"/>
    <xf numFmtId="0" fontId="9" fillId="24" borderId="1" applyNumberFormat="0" applyAlignment="0" applyProtection="0"/>
    <xf numFmtId="0" fontId="9" fillId="24" borderId="1" applyNumberFormat="0" applyAlignment="0" applyProtection="0"/>
    <xf numFmtId="0" fontId="9" fillId="24" borderId="1" applyNumberFormat="0" applyAlignment="0" applyProtection="0"/>
    <xf numFmtId="0" fontId="1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208" fontId="4" fillId="0" borderId="0" applyFill="0" applyBorder="0" applyAlignment="0" applyProtection="0"/>
    <xf numFmtId="208" fontId="4" fillId="0" borderId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29" fillId="4" borderId="0" applyNumberFormat="0" applyBorder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" fillId="0" borderId="0">
      <alignment/>
      <protection/>
    </xf>
    <xf numFmtId="0" fontId="15" fillId="0" borderId="0">
      <alignment vertical="top"/>
      <protection/>
    </xf>
    <xf numFmtId="0" fontId="2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7" fillId="25" borderId="8" applyNumberFormat="0" applyAlignment="0" applyProtection="0"/>
    <xf numFmtId="0" fontId="17" fillId="25" borderId="8" applyNumberFormat="0" applyAlignment="0" applyProtection="0"/>
    <xf numFmtId="0" fontId="17" fillId="25" borderId="8" applyNumberFormat="0" applyAlignment="0" applyProtection="0"/>
    <xf numFmtId="0" fontId="17" fillId="25" borderId="8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20" fillId="26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4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1" fillId="0" borderId="0">
      <alignment/>
      <protection/>
    </xf>
    <xf numFmtId="0" fontId="4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2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5" borderId="0" applyNumberFormat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" fillId="10" borderId="10" applyNumberFormat="0" applyFont="0" applyAlignment="0" applyProtection="0"/>
    <xf numFmtId="0" fontId="4" fillId="10" borderId="10" applyNumberFormat="0" applyFont="0" applyAlignment="0" applyProtection="0"/>
    <xf numFmtId="0" fontId="4" fillId="10" borderId="10" applyNumberFormat="0" applyFont="0" applyAlignment="0" applyProtection="0"/>
    <xf numFmtId="0" fontId="0" fillId="10" borderId="10" applyNumberFormat="0" applyFont="0" applyAlignment="0" applyProtection="0"/>
    <xf numFmtId="184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8" fillId="26" borderId="2" applyNumberFormat="0" applyAlignment="0" applyProtection="0"/>
    <xf numFmtId="0" fontId="25" fillId="0" borderId="6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6" fillId="13" borderId="0" applyNumberFormat="0" applyBorder="0" applyAlignment="0" applyProtection="0"/>
    <xf numFmtId="0" fontId="27" fillId="0" borderId="0">
      <alignment/>
      <protection/>
    </xf>
    <xf numFmtId="0" fontId="2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9" fontId="6" fillId="0" borderId="0" applyFont="0" applyFill="0" applyBorder="0" applyAlignment="0" applyProtection="0"/>
    <xf numFmtId="209" fontId="37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210" fontId="4" fillId="0" borderId="0" applyFill="0" applyBorder="0" applyAlignment="0" applyProtection="0"/>
    <xf numFmtId="210" fontId="4" fillId="0" borderId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0" fontId="29" fillId="4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</cellStyleXfs>
  <cellXfs count="99">
    <xf numFmtId="0" fontId="0" fillId="0" borderId="0" xfId="0" applyAlignment="1">
      <alignment/>
    </xf>
    <xf numFmtId="0" fontId="30" fillId="27" borderId="12" xfId="229" applyFont="1" applyFill="1" applyBorder="1" applyAlignment="1">
      <alignment horizontal="left" vertical="center" wrapText="1"/>
      <protection/>
    </xf>
    <xf numFmtId="4" fontId="30" fillId="27" borderId="12" xfId="167" applyNumberFormat="1" applyFont="1" applyFill="1" applyBorder="1" applyAlignment="1">
      <alignment horizontal="center" vertical="center"/>
      <protection/>
    </xf>
    <xf numFmtId="0" fontId="0" fillId="27" borderId="0" xfId="0" applyFont="1" applyFill="1" applyAlignment="1">
      <alignment/>
    </xf>
    <xf numFmtId="4" fontId="32" fillId="27" borderId="12" xfId="167" applyNumberFormat="1" applyFont="1" applyFill="1" applyBorder="1" applyAlignment="1">
      <alignment horizontal="center" vertical="center"/>
      <protection/>
    </xf>
    <xf numFmtId="4" fontId="30" fillId="27" borderId="12" xfId="0" applyNumberFormat="1" applyFont="1" applyFill="1" applyBorder="1" applyAlignment="1">
      <alignment horizontal="center" vertical="center" wrapText="1"/>
    </xf>
    <xf numFmtId="0" fontId="30" fillId="27" borderId="12" xfId="0" applyFont="1" applyFill="1" applyBorder="1" applyAlignment="1">
      <alignment horizontal="left" vertical="center" wrapText="1"/>
    </xf>
    <xf numFmtId="194" fontId="30" fillId="27" borderId="12" xfId="167" applyNumberFormat="1" applyFont="1" applyFill="1" applyBorder="1" applyAlignment="1">
      <alignment horizontal="center" vertical="center"/>
      <protection/>
    </xf>
    <xf numFmtId="185" fontId="30" fillId="27" borderId="12" xfId="167" applyNumberFormat="1" applyFont="1" applyFill="1" applyBorder="1" applyAlignment="1">
      <alignment horizontal="left" vertical="center" wrapText="1"/>
      <protection/>
    </xf>
    <xf numFmtId="0" fontId="30" fillId="27" borderId="12" xfId="228" applyFont="1" applyFill="1" applyBorder="1" applyAlignment="1">
      <alignment horizontal="left" vertical="top" wrapText="1"/>
      <protection/>
    </xf>
    <xf numFmtId="0" fontId="30" fillId="27" borderId="12" xfId="0" applyFont="1" applyFill="1" applyBorder="1" applyAlignment="1">
      <alignment horizontal="left" vertical="top" wrapText="1"/>
    </xf>
    <xf numFmtId="194" fontId="32" fillId="27" borderId="12" xfId="167" applyNumberFormat="1" applyFont="1" applyFill="1" applyBorder="1" applyAlignment="1">
      <alignment horizontal="center" vertical="center"/>
      <protection/>
    </xf>
    <xf numFmtId="4" fontId="32" fillId="27" borderId="12" xfId="0" applyNumberFormat="1" applyFont="1" applyFill="1" applyBorder="1" applyAlignment="1">
      <alignment horizontal="center" vertical="center" wrapText="1"/>
    </xf>
    <xf numFmtId="0" fontId="32" fillId="27" borderId="12" xfId="0" applyFont="1" applyFill="1" applyBorder="1" applyAlignment="1">
      <alignment horizontal="left" vertical="center" wrapText="1"/>
    </xf>
    <xf numFmtId="0" fontId="32" fillId="27" borderId="12" xfId="232" applyFont="1" applyFill="1" applyBorder="1" applyAlignment="1">
      <alignment horizontal="left" vertical="center" wrapText="1"/>
      <protection/>
    </xf>
    <xf numFmtId="0" fontId="30" fillId="27" borderId="12" xfId="232" applyFont="1" applyFill="1" applyBorder="1" applyAlignment="1">
      <alignment horizontal="left" vertical="center" wrapText="1"/>
      <protection/>
    </xf>
    <xf numFmtId="0" fontId="32" fillId="27" borderId="12" xfId="229" applyFont="1" applyFill="1" applyBorder="1" applyAlignment="1">
      <alignment horizontal="left" vertical="center" wrapText="1"/>
      <protection/>
    </xf>
    <xf numFmtId="185" fontId="32" fillId="27" borderId="12" xfId="167" applyNumberFormat="1" applyFont="1" applyFill="1" applyBorder="1" applyAlignment="1">
      <alignment horizontal="left" vertical="center" wrapText="1"/>
      <protection/>
    </xf>
    <xf numFmtId="4" fontId="32" fillId="27" borderId="12" xfId="167" applyNumberFormat="1" applyFont="1" applyFill="1" applyBorder="1" applyAlignment="1">
      <alignment horizontal="center" vertical="center" wrapText="1"/>
      <protection/>
    </xf>
    <xf numFmtId="0" fontId="30" fillId="27" borderId="12" xfId="230" applyFont="1" applyFill="1" applyBorder="1" applyAlignment="1">
      <alignment horizontal="left" vertical="top" wrapText="1"/>
      <protection/>
    </xf>
    <xf numFmtId="0" fontId="30" fillId="27" borderId="12" xfId="0" applyFont="1" applyFill="1" applyBorder="1" applyAlignment="1">
      <alignment wrapText="1"/>
    </xf>
    <xf numFmtId="0" fontId="30" fillId="27" borderId="12" xfId="0" applyFont="1" applyFill="1" applyBorder="1" applyAlignment="1">
      <alignment vertical="top" wrapText="1"/>
    </xf>
    <xf numFmtId="191" fontId="30" fillId="27" borderId="12" xfId="0" applyNumberFormat="1" applyFont="1" applyFill="1" applyBorder="1" applyAlignment="1">
      <alignment horizontal="center" vertical="center" wrapText="1"/>
    </xf>
    <xf numFmtId="0" fontId="30" fillId="27" borderId="12" xfId="233" applyFont="1" applyFill="1" applyBorder="1" applyAlignment="1">
      <alignment horizontal="left" vertical="top" wrapText="1"/>
      <protection/>
    </xf>
    <xf numFmtId="0" fontId="30" fillId="27" borderId="12" xfId="231" applyFont="1" applyFill="1" applyBorder="1" applyAlignment="1">
      <alignment horizontal="left" vertical="center" wrapText="1"/>
      <protection/>
    </xf>
    <xf numFmtId="0" fontId="30" fillId="27" borderId="12" xfId="0" applyFont="1" applyFill="1" applyBorder="1" applyAlignment="1">
      <alignment vertical="center" wrapText="1"/>
    </xf>
    <xf numFmtId="0" fontId="30" fillId="27" borderId="12" xfId="0" applyFont="1" applyFill="1" applyBorder="1" applyAlignment="1">
      <alignment horizontal="justify" vertical="center" wrapText="1"/>
    </xf>
    <xf numFmtId="194" fontId="30" fillId="27" borderId="12" xfId="0" applyNumberFormat="1" applyFont="1" applyFill="1" applyBorder="1" applyAlignment="1">
      <alignment horizontal="center" vertical="center" wrapText="1"/>
    </xf>
    <xf numFmtId="0" fontId="30" fillId="27" borderId="12" xfId="0" applyFont="1" applyFill="1" applyBorder="1" applyAlignment="1">
      <alignment horizontal="left" wrapText="1"/>
    </xf>
    <xf numFmtId="0" fontId="30" fillId="27" borderId="13" xfId="232" applyFont="1" applyFill="1" applyBorder="1" applyAlignment="1">
      <alignment horizontal="left" vertical="center" wrapText="1"/>
      <protection/>
    </xf>
    <xf numFmtId="0" fontId="0" fillId="27" borderId="12" xfId="0" applyFont="1" applyFill="1" applyBorder="1" applyAlignment="1">
      <alignment/>
    </xf>
    <xf numFmtId="0" fontId="30" fillId="27" borderId="12" xfId="0" applyFont="1" applyFill="1" applyBorder="1" applyAlignment="1">
      <alignment/>
    </xf>
    <xf numFmtId="49" fontId="32" fillId="27" borderId="14" xfId="0" applyNumberFormat="1" applyFont="1" applyFill="1" applyBorder="1" applyAlignment="1" applyProtection="1">
      <alignment horizontal="center" vertical="top" wrapText="1"/>
      <protection/>
    </xf>
    <xf numFmtId="0" fontId="32" fillId="27" borderId="14" xfId="0" applyNumberFormat="1" applyFont="1" applyFill="1" applyBorder="1" applyAlignment="1" applyProtection="1">
      <alignment horizontal="center" vertical="top" wrapText="1"/>
      <protection/>
    </xf>
    <xf numFmtId="49" fontId="32" fillId="27" borderId="12" xfId="0" applyNumberFormat="1" applyFont="1" applyFill="1" applyBorder="1" applyAlignment="1">
      <alignment horizontal="center" vertical="top" wrapText="1"/>
    </xf>
    <xf numFmtId="0" fontId="32" fillId="27" borderId="12" xfId="0" applyNumberFormat="1" applyFont="1" applyFill="1" applyBorder="1" applyAlignment="1" applyProtection="1">
      <alignment horizontal="center" vertical="top" wrapText="1"/>
      <protection/>
    </xf>
    <xf numFmtId="49" fontId="32" fillId="27" borderId="12" xfId="0" applyNumberFormat="1" applyFont="1" applyFill="1" applyBorder="1" applyAlignment="1" applyProtection="1">
      <alignment horizontal="center" vertical="center"/>
      <protection/>
    </xf>
    <xf numFmtId="0" fontId="32" fillId="27" borderId="12" xfId="0" applyFont="1" applyFill="1" applyBorder="1" applyAlignment="1">
      <alignment horizontal="center" vertical="center" wrapText="1"/>
    </xf>
    <xf numFmtId="49" fontId="32" fillId="27" borderId="12" xfId="0" applyNumberFormat="1" applyFont="1" applyFill="1" applyBorder="1" applyAlignment="1" applyProtection="1">
      <alignment horizontal="center" vertical="top" wrapText="1"/>
      <protection/>
    </xf>
    <xf numFmtId="0" fontId="32" fillId="27" borderId="12" xfId="0" applyFont="1" applyFill="1" applyBorder="1" applyAlignment="1">
      <alignment horizontal="center" vertical="top" wrapText="1"/>
    </xf>
    <xf numFmtId="49" fontId="32" fillId="27" borderId="15" xfId="0" applyNumberFormat="1" applyFont="1" applyFill="1" applyBorder="1" applyAlignment="1" applyProtection="1">
      <alignment horizontal="center"/>
      <protection/>
    </xf>
    <xf numFmtId="0" fontId="32" fillId="27" borderId="15" xfId="0" applyFont="1" applyFill="1" applyBorder="1" applyAlignment="1">
      <alignment horizontal="center"/>
    </xf>
    <xf numFmtId="0" fontId="30" fillId="27" borderId="0" xfId="0" applyFont="1" applyFill="1" applyBorder="1" applyAlignment="1">
      <alignment horizontal="left" vertical="center" wrapText="1"/>
    </xf>
    <xf numFmtId="4" fontId="0" fillId="27" borderId="0" xfId="0" applyNumberFormat="1" applyFont="1" applyFill="1" applyAlignment="1" applyProtection="1">
      <alignment horizontal="center"/>
      <protection/>
    </xf>
    <xf numFmtId="49" fontId="32" fillId="27" borderId="12" xfId="0" applyNumberFormat="1" applyFont="1" applyFill="1" applyBorder="1" applyAlignment="1" applyProtection="1">
      <alignment horizontal="center" vertical="center" wrapText="1"/>
      <protection/>
    </xf>
    <xf numFmtId="0" fontId="32" fillId="27" borderId="12" xfId="0" applyNumberFormat="1" applyFont="1" applyFill="1" applyBorder="1" applyAlignment="1" applyProtection="1">
      <alignment horizontal="center" vertical="center" wrapText="1"/>
      <protection/>
    </xf>
    <xf numFmtId="4" fontId="30" fillId="27" borderId="14" xfId="167" applyNumberFormat="1" applyFont="1" applyFill="1" applyBorder="1" applyAlignment="1">
      <alignment horizontal="center" vertical="center"/>
      <protection/>
    </xf>
    <xf numFmtId="0" fontId="0" fillId="27" borderId="0" xfId="0" applyFont="1" applyFill="1" applyAlignment="1">
      <alignment wrapText="1"/>
    </xf>
    <xf numFmtId="4" fontId="32" fillId="27" borderId="12" xfId="0" applyNumberFormat="1" applyFont="1" applyFill="1" applyBorder="1" applyAlignment="1" applyProtection="1">
      <alignment horizontal="center" vertical="center"/>
      <protection/>
    </xf>
    <xf numFmtId="194" fontId="32" fillId="27" borderId="12" xfId="0" applyNumberFormat="1" applyFont="1" applyFill="1" applyBorder="1" applyAlignment="1">
      <alignment horizontal="center" vertical="center" wrapText="1"/>
    </xf>
    <xf numFmtId="4" fontId="30" fillId="27" borderId="12" xfId="0" applyNumberFormat="1" applyFont="1" applyFill="1" applyBorder="1" applyAlignment="1">
      <alignment horizontal="center" vertical="center"/>
    </xf>
    <xf numFmtId="0" fontId="30" fillId="27" borderId="0" xfId="0" applyFont="1" applyFill="1" applyAlignment="1">
      <alignment/>
    </xf>
    <xf numFmtId="185" fontId="32" fillId="27" borderId="12" xfId="167" applyNumberFormat="1" applyFont="1" applyFill="1" applyBorder="1" applyAlignment="1">
      <alignment horizontal="center" vertical="center" wrapText="1"/>
      <protection/>
    </xf>
    <xf numFmtId="4" fontId="33" fillId="27" borderId="12" xfId="0" applyNumberFormat="1" applyFont="1" applyFill="1" applyBorder="1" applyAlignment="1" applyProtection="1">
      <alignment horizontal="center"/>
      <protection/>
    </xf>
    <xf numFmtId="49" fontId="33" fillId="27" borderId="12" xfId="0" applyNumberFormat="1" applyFont="1" applyFill="1" applyBorder="1" applyAlignment="1" applyProtection="1">
      <alignment horizontal="center"/>
      <protection/>
    </xf>
    <xf numFmtId="49" fontId="33" fillId="27" borderId="0" xfId="0" applyNumberFormat="1" applyFont="1" applyFill="1" applyBorder="1" applyAlignment="1" applyProtection="1">
      <alignment horizontal="center"/>
      <protection/>
    </xf>
    <xf numFmtId="4" fontId="33" fillId="27" borderId="0" xfId="0" applyNumberFormat="1" applyFont="1" applyFill="1" applyBorder="1" applyAlignment="1" applyProtection="1">
      <alignment horizontal="center"/>
      <protection/>
    </xf>
    <xf numFmtId="49" fontId="0" fillId="27" borderId="0" xfId="0" applyNumberFormat="1" applyFont="1" applyFill="1" applyAlignment="1" applyProtection="1">
      <alignment/>
      <protection/>
    </xf>
    <xf numFmtId="0" fontId="34" fillId="27" borderId="0" xfId="0" applyNumberFormat="1" applyFont="1" applyFill="1" applyAlignment="1" applyProtection="1">
      <alignment/>
      <protection/>
    </xf>
    <xf numFmtId="4" fontId="32" fillId="27" borderId="12" xfId="0" applyNumberFormat="1" applyFont="1" applyFill="1" applyBorder="1" applyAlignment="1">
      <alignment horizontal="center" vertical="center"/>
    </xf>
    <xf numFmtId="49" fontId="38" fillId="27" borderId="0" xfId="0" applyNumberFormat="1" applyFont="1" applyFill="1" applyBorder="1" applyAlignment="1">
      <alignment horizontal="center" vertical="center" wrapText="1"/>
    </xf>
    <xf numFmtId="0" fontId="33" fillId="27" borderId="0" xfId="0" applyFont="1" applyFill="1" applyBorder="1" applyAlignment="1">
      <alignment horizontal="left" vertical="center" wrapText="1"/>
    </xf>
    <xf numFmtId="0" fontId="30" fillId="27" borderId="0" xfId="0" applyFont="1" applyFill="1" applyAlignment="1">
      <alignment vertical="center"/>
    </xf>
    <xf numFmtId="0" fontId="0" fillId="27" borderId="0" xfId="0" applyNumberFormat="1" applyFont="1" applyFill="1" applyAlignment="1" applyProtection="1">
      <alignment horizontal="left" vertical="center" wrapText="1"/>
      <protection/>
    </xf>
    <xf numFmtId="0" fontId="32" fillId="27" borderId="16" xfId="0" applyFont="1" applyFill="1" applyBorder="1" applyAlignment="1">
      <alignment horizontal="center" vertical="top" wrapText="1"/>
    </xf>
    <xf numFmtId="0" fontId="32" fillId="27" borderId="17" xfId="0" applyFont="1" applyFill="1" applyBorder="1" applyAlignment="1">
      <alignment horizontal="center" vertical="top" wrapText="1"/>
    </xf>
    <xf numFmtId="49" fontId="32" fillId="27" borderId="16" xfId="0" applyNumberFormat="1" applyFont="1" applyFill="1" applyBorder="1" applyAlignment="1">
      <alignment horizontal="center" vertical="top" wrapText="1"/>
    </xf>
    <xf numFmtId="49" fontId="32" fillId="27" borderId="17" xfId="0" applyNumberFormat="1" applyFont="1" applyFill="1" applyBorder="1" applyAlignment="1">
      <alignment horizontal="center" vertical="top" wrapText="1"/>
    </xf>
    <xf numFmtId="0" fontId="39" fillId="27" borderId="16" xfId="0" applyFont="1" applyFill="1" applyBorder="1" applyAlignment="1">
      <alignment horizontal="center" vertical="top" wrapText="1"/>
    </xf>
    <xf numFmtId="0" fontId="39" fillId="27" borderId="17" xfId="0" applyFont="1" applyFill="1" applyBorder="1" applyAlignment="1">
      <alignment horizontal="center" vertical="top" wrapText="1"/>
    </xf>
    <xf numFmtId="0" fontId="32" fillId="27" borderId="14" xfId="0" applyFont="1" applyFill="1" applyBorder="1" applyAlignment="1">
      <alignment horizontal="center" vertical="top" wrapText="1"/>
    </xf>
    <xf numFmtId="49" fontId="32" fillId="27" borderId="16" xfId="0" applyNumberFormat="1" applyFont="1" applyFill="1" applyBorder="1" applyAlignment="1" applyProtection="1">
      <alignment horizontal="center" vertical="top" wrapText="1"/>
      <protection/>
    </xf>
    <xf numFmtId="49" fontId="32" fillId="27" borderId="14" xfId="0" applyNumberFormat="1" applyFont="1" applyFill="1" applyBorder="1" applyAlignment="1" applyProtection="1">
      <alignment horizontal="center" vertical="top" wrapText="1"/>
      <protection/>
    </xf>
    <xf numFmtId="49" fontId="32" fillId="27" borderId="17" xfId="0" applyNumberFormat="1" applyFont="1" applyFill="1" applyBorder="1" applyAlignment="1" applyProtection="1">
      <alignment horizontal="center" vertical="top" wrapText="1"/>
      <protection/>
    </xf>
    <xf numFmtId="49" fontId="32" fillId="27" borderId="12" xfId="0" applyNumberFormat="1" applyFont="1" applyFill="1" applyBorder="1" applyAlignment="1" applyProtection="1">
      <alignment horizontal="center" vertical="top" wrapText="1"/>
      <protection/>
    </xf>
    <xf numFmtId="0" fontId="32" fillId="27" borderId="12" xfId="0" applyFont="1" applyFill="1" applyBorder="1" applyAlignment="1">
      <alignment horizontal="center" vertical="top" wrapText="1"/>
    </xf>
    <xf numFmtId="0" fontId="32" fillId="27" borderId="16" xfId="0" applyNumberFormat="1" applyFont="1" applyFill="1" applyBorder="1" applyAlignment="1" applyProtection="1">
      <alignment horizontal="center" vertical="top" wrapText="1"/>
      <protection/>
    </xf>
    <xf numFmtId="0" fontId="32" fillId="27" borderId="14" xfId="0" applyNumberFormat="1" applyFont="1" applyFill="1" applyBorder="1" applyAlignment="1" applyProtection="1">
      <alignment horizontal="center" vertical="top" wrapText="1"/>
      <protection/>
    </xf>
    <xf numFmtId="0" fontId="32" fillId="27" borderId="17" xfId="0" applyNumberFormat="1" applyFont="1" applyFill="1" applyBorder="1" applyAlignment="1" applyProtection="1">
      <alignment horizontal="center" vertical="top" wrapText="1"/>
      <protection/>
    </xf>
    <xf numFmtId="49" fontId="32" fillId="27" borderId="16" xfId="0" applyNumberFormat="1" applyFont="1" applyFill="1" applyBorder="1" applyAlignment="1" applyProtection="1">
      <alignment horizontal="center" vertical="top"/>
      <protection/>
    </xf>
    <xf numFmtId="49" fontId="32" fillId="27" borderId="14" xfId="0" applyNumberFormat="1" applyFont="1" applyFill="1" applyBorder="1" applyAlignment="1" applyProtection="1">
      <alignment horizontal="center" vertical="top"/>
      <protection/>
    </xf>
    <xf numFmtId="49" fontId="32" fillId="27" borderId="17" xfId="0" applyNumberFormat="1" applyFont="1" applyFill="1" applyBorder="1" applyAlignment="1" applyProtection="1">
      <alignment horizontal="center" vertical="top"/>
      <protection/>
    </xf>
    <xf numFmtId="0" fontId="32" fillId="27" borderId="12" xfId="0" applyNumberFormat="1" applyFont="1" applyFill="1" applyBorder="1" applyAlignment="1" applyProtection="1">
      <alignment horizontal="center" vertical="top" wrapText="1"/>
      <protection/>
    </xf>
    <xf numFmtId="0" fontId="31" fillId="27" borderId="0" xfId="0" applyNumberFormat="1" applyFont="1" applyFill="1" applyBorder="1" applyAlignment="1" applyProtection="1">
      <alignment horizontal="center" vertical="center" wrapText="1"/>
      <protection/>
    </xf>
    <xf numFmtId="49" fontId="33" fillId="27" borderId="12" xfId="0" applyNumberFormat="1" applyFont="1" applyFill="1" applyBorder="1" applyAlignment="1" applyProtection="1">
      <alignment horizontal="center"/>
      <protection/>
    </xf>
    <xf numFmtId="49" fontId="32" fillId="27" borderId="12" xfId="0" applyNumberFormat="1" applyFont="1" applyFill="1" applyBorder="1" applyAlignment="1">
      <alignment horizontal="center" vertical="top" wrapText="1"/>
    </xf>
    <xf numFmtId="0" fontId="32" fillId="27" borderId="12" xfId="0" applyFont="1" applyFill="1" applyBorder="1" applyAlignment="1">
      <alignment horizontal="center" vertical="center" wrapText="1"/>
    </xf>
    <xf numFmtId="49" fontId="32" fillId="27" borderId="12" xfId="0" applyNumberFormat="1" applyFont="1" applyFill="1" applyBorder="1" applyAlignment="1" applyProtection="1">
      <alignment horizontal="center" vertical="top"/>
      <protection/>
    </xf>
    <xf numFmtId="49" fontId="32" fillId="27" borderId="12" xfId="0" applyNumberFormat="1" applyFont="1" applyFill="1" applyBorder="1" applyAlignment="1" applyProtection="1">
      <alignment horizontal="center" vertical="center"/>
      <protection/>
    </xf>
    <xf numFmtId="0" fontId="32" fillId="27" borderId="12" xfId="0" applyFont="1" applyFill="1" applyBorder="1" applyAlignment="1">
      <alignment horizontal="center" wrapText="1"/>
    </xf>
    <xf numFmtId="49" fontId="32" fillId="27" borderId="18" xfId="0" applyNumberFormat="1" applyFont="1" applyFill="1" applyBorder="1" applyAlignment="1" applyProtection="1">
      <alignment horizontal="left" vertical="center"/>
      <protection/>
    </xf>
    <xf numFmtId="49" fontId="32" fillId="27" borderId="13" xfId="0" applyNumberFormat="1" applyFont="1" applyFill="1" applyBorder="1" applyAlignment="1" applyProtection="1">
      <alignment horizontal="left" vertical="center"/>
      <protection/>
    </xf>
    <xf numFmtId="0" fontId="32" fillId="27" borderId="19" xfId="0" applyFont="1" applyFill="1" applyBorder="1" applyAlignment="1">
      <alignment horizontal="center" vertical="top" wrapText="1"/>
    </xf>
    <xf numFmtId="0" fontId="32" fillId="27" borderId="20" xfId="0" applyFont="1" applyFill="1" applyBorder="1" applyAlignment="1">
      <alignment horizontal="center" vertical="top" wrapText="1"/>
    </xf>
    <xf numFmtId="49" fontId="32" fillId="27" borderId="14" xfId="0" applyNumberFormat="1" applyFont="1" applyFill="1" applyBorder="1" applyAlignment="1">
      <alignment horizontal="center" vertical="top" wrapText="1"/>
    </xf>
    <xf numFmtId="49" fontId="32" fillId="27" borderId="16" xfId="0" applyNumberFormat="1" applyFont="1" applyFill="1" applyBorder="1" applyAlignment="1">
      <alignment horizontal="center" vertical="center" wrapText="1"/>
    </xf>
    <xf numFmtId="49" fontId="32" fillId="27" borderId="14" xfId="0" applyNumberFormat="1" applyFont="1" applyFill="1" applyBorder="1" applyAlignment="1">
      <alignment horizontal="center" vertical="center" wrapText="1"/>
    </xf>
    <xf numFmtId="49" fontId="32" fillId="27" borderId="18" xfId="0" applyNumberFormat="1" applyFont="1" applyFill="1" applyBorder="1" applyAlignment="1" applyProtection="1">
      <alignment horizontal="center" vertical="center"/>
      <protection/>
    </xf>
    <xf numFmtId="49" fontId="32" fillId="27" borderId="13" xfId="0" applyNumberFormat="1" applyFont="1" applyFill="1" applyBorder="1" applyAlignment="1" applyProtection="1">
      <alignment horizontal="center" vertical="center"/>
      <protection/>
    </xf>
  </cellXfs>
  <cellStyles count="258">
    <cellStyle name="Normal" xfId="0"/>
    <cellStyle name="20% — акцент1" xfId="15"/>
    <cellStyle name="20% - Акцент1 2" xfId="16"/>
    <cellStyle name="20% - Акцент1 3" xfId="17"/>
    <cellStyle name="20% — акцент2" xfId="18"/>
    <cellStyle name="20% - Акцент2 2" xfId="19"/>
    <cellStyle name="20% - Акцент2 3" xfId="20"/>
    <cellStyle name="20% — акцент3" xfId="21"/>
    <cellStyle name="20% - Акцент3 2" xfId="22"/>
    <cellStyle name="20% - Акцент3 3" xfId="23"/>
    <cellStyle name="20% — акцент4" xfId="24"/>
    <cellStyle name="20% - Акцент4 2" xfId="25"/>
    <cellStyle name="20% - Акцент4 3" xfId="26"/>
    <cellStyle name="20% — акцент5" xfId="27"/>
    <cellStyle name="20% - Акцент5 2" xfId="28"/>
    <cellStyle name="20% - Акцент5 3" xfId="29"/>
    <cellStyle name="20% — акцент6" xfId="30"/>
    <cellStyle name="20% - Акцент6 2" xfId="31"/>
    <cellStyle name="20% - Акцент6 3" xfId="32"/>
    <cellStyle name="20% – Акцентування1" xfId="33"/>
    <cellStyle name="20% – Акцентування2" xfId="34"/>
    <cellStyle name="20% – Акцентування3" xfId="35"/>
    <cellStyle name="20% – Акцентування4" xfId="36"/>
    <cellStyle name="20% – Акцентування5" xfId="37"/>
    <cellStyle name="20% – Акцентування6" xfId="38"/>
    <cellStyle name="40% — акцент1" xfId="39"/>
    <cellStyle name="40% - Акцент1 2" xfId="40"/>
    <cellStyle name="40% - Акцент1 3" xfId="41"/>
    <cellStyle name="40% — акцент2" xfId="42"/>
    <cellStyle name="40% - Акцент2 2" xfId="43"/>
    <cellStyle name="40% - Акцент2 3" xfId="44"/>
    <cellStyle name="40% — акцент3" xfId="45"/>
    <cellStyle name="40% - Акцент3 2" xfId="46"/>
    <cellStyle name="40% - Акцент3 3" xfId="47"/>
    <cellStyle name="40% — акцент4" xfId="48"/>
    <cellStyle name="40% - Акцент4 2" xfId="49"/>
    <cellStyle name="40% - Акцент4 3" xfId="50"/>
    <cellStyle name="40% — акцент5" xfId="51"/>
    <cellStyle name="40% - Акцент5 2" xfId="52"/>
    <cellStyle name="40% - Акцент5 3" xfId="53"/>
    <cellStyle name="40% — акцент6" xfId="54"/>
    <cellStyle name="40% - Акцент6 2" xfId="55"/>
    <cellStyle name="40% - Акцент6 3" xfId="56"/>
    <cellStyle name="40% – Акцентування1" xfId="57"/>
    <cellStyle name="40% – Акцентування2" xfId="58"/>
    <cellStyle name="40% – Акцентування3" xfId="59"/>
    <cellStyle name="40% – Акцентування4" xfId="60"/>
    <cellStyle name="40% – Акцентування5" xfId="61"/>
    <cellStyle name="40% – Акцентування6" xfId="62"/>
    <cellStyle name="60% — акцент1" xfId="63"/>
    <cellStyle name="60% - Акцент1 2" xfId="64"/>
    <cellStyle name="60% - Акцент1 3" xfId="65"/>
    <cellStyle name="60% — акцент2" xfId="66"/>
    <cellStyle name="60% - Акцент2 2" xfId="67"/>
    <cellStyle name="60% - Акцент2 3" xfId="68"/>
    <cellStyle name="60% — акцент3" xfId="69"/>
    <cellStyle name="60% - Акцент3 2" xfId="70"/>
    <cellStyle name="60% - Акцент3 3" xfId="71"/>
    <cellStyle name="60% — акцент4" xfId="72"/>
    <cellStyle name="60% - Акцент4 2" xfId="73"/>
    <cellStyle name="60% - Акцент4 3" xfId="74"/>
    <cellStyle name="60% — акцент5" xfId="75"/>
    <cellStyle name="60% - Акцент5 2" xfId="76"/>
    <cellStyle name="60% - Акцент5 3" xfId="77"/>
    <cellStyle name="60% — акцент6" xfId="78"/>
    <cellStyle name="60% - Акцент6 2" xfId="79"/>
    <cellStyle name="60% - Акцент6 3" xfId="80"/>
    <cellStyle name="60% – Акцентування1" xfId="81"/>
    <cellStyle name="60% – Акцентування2" xfId="82"/>
    <cellStyle name="60% – Акцентування3" xfId="83"/>
    <cellStyle name="60% – Акцентування4" xfId="84"/>
    <cellStyle name="60% – Акцентування5" xfId="85"/>
    <cellStyle name="60% – Акцентування6" xfId="86"/>
    <cellStyle name="Excel Built-in Normal" xfId="87"/>
    <cellStyle name="Normal_Local Bud Plan 2003" xfId="88"/>
    <cellStyle name="Акцент1" xfId="89"/>
    <cellStyle name="Акцент1 2" xfId="90"/>
    <cellStyle name="Акцент1 3" xfId="91"/>
    <cellStyle name="Акцент2" xfId="92"/>
    <cellStyle name="Акцент2 2" xfId="93"/>
    <cellStyle name="Акцент2 3" xfId="94"/>
    <cellStyle name="Акцент3" xfId="95"/>
    <cellStyle name="Акцент3 2" xfId="96"/>
    <cellStyle name="Акцент3 3" xfId="97"/>
    <cellStyle name="Акцент4" xfId="98"/>
    <cellStyle name="Акцент4 2" xfId="99"/>
    <cellStyle name="Акцент4 3" xfId="100"/>
    <cellStyle name="Акцент5" xfId="101"/>
    <cellStyle name="Акцент5 2" xfId="102"/>
    <cellStyle name="Акцент5 3" xfId="103"/>
    <cellStyle name="Акцент6" xfId="104"/>
    <cellStyle name="Акцент6 2" xfId="105"/>
    <cellStyle name="Акцент6 3" xfId="106"/>
    <cellStyle name="Акцентування1" xfId="107"/>
    <cellStyle name="Акцентування2" xfId="108"/>
    <cellStyle name="Акцентування3" xfId="109"/>
    <cellStyle name="Акцентування4" xfId="110"/>
    <cellStyle name="Акцентування5" xfId="111"/>
    <cellStyle name="Акцентування6" xfId="112"/>
    <cellStyle name="Ввід" xfId="113"/>
    <cellStyle name="Ввод " xfId="114"/>
    <cellStyle name="Ввод  2" xfId="115"/>
    <cellStyle name="Ввод  3" xfId="116"/>
    <cellStyle name="Вывод" xfId="117"/>
    <cellStyle name="Вывод 2" xfId="118"/>
    <cellStyle name="Вывод 3" xfId="119"/>
    <cellStyle name="Вычисление" xfId="120"/>
    <cellStyle name="Вычисление 2" xfId="121"/>
    <cellStyle name="Вычисление 3" xfId="122"/>
    <cellStyle name="Hyperlink" xfId="123"/>
    <cellStyle name="Гиперссылка 2" xfId="124"/>
    <cellStyle name="Currency" xfId="125"/>
    <cellStyle name="Currency [0]" xfId="126"/>
    <cellStyle name="Денежный 2" xfId="127"/>
    <cellStyle name="Денежный 3" xfId="128"/>
    <cellStyle name="Денежный 3 2" xfId="129"/>
    <cellStyle name="Денежный 3 2 2" xfId="130"/>
    <cellStyle name="Добре" xfId="131"/>
    <cellStyle name="Заголовок 1" xfId="132"/>
    <cellStyle name="Заголовок 1 2" xfId="133"/>
    <cellStyle name="Заголовок 1 3" xfId="134"/>
    <cellStyle name="Заголовок 2" xfId="135"/>
    <cellStyle name="Заголовок 2 2" xfId="136"/>
    <cellStyle name="Заголовок 2 3" xfId="137"/>
    <cellStyle name="Заголовок 3" xfId="138"/>
    <cellStyle name="Заголовок 3 2" xfId="139"/>
    <cellStyle name="Заголовок 3 3" xfId="140"/>
    <cellStyle name="Заголовок 4" xfId="141"/>
    <cellStyle name="Заголовок 4 2" xfId="142"/>
    <cellStyle name="Заголовок 4 3" xfId="143"/>
    <cellStyle name="Звичайний 10" xfId="144"/>
    <cellStyle name="Звичайний 11" xfId="145"/>
    <cellStyle name="Звичайний 12" xfId="146"/>
    <cellStyle name="Звичайний 13" xfId="147"/>
    <cellStyle name="Звичайний 14" xfId="148"/>
    <cellStyle name="Звичайний 15" xfId="149"/>
    <cellStyle name="Звичайний 16" xfId="150"/>
    <cellStyle name="Звичайний 17" xfId="151"/>
    <cellStyle name="Звичайний 18" xfId="152"/>
    <cellStyle name="Звичайний 19" xfId="153"/>
    <cellStyle name="Звичайний 2" xfId="154"/>
    <cellStyle name="Звичайний 2 2" xfId="155"/>
    <cellStyle name="Звичайний 20" xfId="156"/>
    <cellStyle name="Звичайний 3" xfId="157"/>
    <cellStyle name="Звичайний 3 2" xfId="158"/>
    <cellStyle name="Звичайний 4" xfId="159"/>
    <cellStyle name="Звичайний 4 2" xfId="160"/>
    <cellStyle name="Звичайний 5" xfId="161"/>
    <cellStyle name="Звичайний 6" xfId="162"/>
    <cellStyle name="Звичайний 7" xfId="163"/>
    <cellStyle name="Звичайний 8" xfId="164"/>
    <cellStyle name="Звичайний 9" xfId="165"/>
    <cellStyle name="Звичайний_Xl0000125" xfId="166"/>
    <cellStyle name="Звичайний_Додаток _ 3 зм_ни 4575" xfId="167"/>
    <cellStyle name="Зв'язана клітинка" xfId="168"/>
    <cellStyle name="Итог" xfId="169"/>
    <cellStyle name="Итог 2" xfId="170"/>
    <cellStyle name="Итог 3" xfId="171"/>
    <cellStyle name="Контрольна клітинка" xfId="172"/>
    <cellStyle name="Контрольная ячейка" xfId="173"/>
    <cellStyle name="Контрольная ячейка 2" xfId="174"/>
    <cellStyle name="Контрольная ячейка 3" xfId="175"/>
    <cellStyle name="Назва" xfId="176"/>
    <cellStyle name="Название" xfId="177"/>
    <cellStyle name="Название 2" xfId="178"/>
    <cellStyle name="Название 3" xfId="179"/>
    <cellStyle name="Нейтральный" xfId="180"/>
    <cellStyle name="Нейтральный 2" xfId="181"/>
    <cellStyle name="Нейтральный 3" xfId="182"/>
    <cellStyle name="Обчислення" xfId="183"/>
    <cellStyle name="Обычный 10" xfId="184"/>
    <cellStyle name="Обычный 11" xfId="185"/>
    <cellStyle name="Обычный 12" xfId="186"/>
    <cellStyle name="Обычный 13" xfId="187"/>
    <cellStyle name="Обычный 13 2" xfId="188"/>
    <cellStyle name="Обычный 14" xfId="189"/>
    <cellStyle name="Обычный 15" xfId="190"/>
    <cellStyle name="Обычный 16" xfId="191"/>
    <cellStyle name="Обычный 16 2" xfId="192"/>
    <cellStyle name="Обычный 16_додаток 6" xfId="193"/>
    <cellStyle name="Обычный 18" xfId="194"/>
    <cellStyle name="Обычный 18 2" xfId="195"/>
    <cellStyle name="Обычный 2" xfId="196"/>
    <cellStyle name="Обычный 2 2" xfId="197"/>
    <cellStyle name="Обычный 2 3" xfId="198"/>
    <cellStyle name="Обычный 2 4" xfId="199"/>
    <cellStyle name="Обычный 2 5" xfId="200"/>
    <cellStyle name="Обычный 2 6" xfId="201"/>
    <cellStyle name="Обычный 2 7" xfId="202"/>
    <cellStyle name="Обычный 2 8" xfId="203"/>
    <cellStyle name="Обычный 2 8 2" xfId="204"/>
    <cellStyle name="Обычный 2 9" xfId="205"/>
    <cellStyle name="Обычный 2 9 2" xfId="206"/>
    <cellStyle name="Обычный 2_дод до поясн" xfId="207"/>
    <cellStyle name="Обычный 3" xfId="208"/>
    <cellStyle name="Обычный 3 2" xfId="209"/>
    <cellStyle name="Обычный 3 3" xfId="210"/>
    <cellStyle name="Обычный 3 4" xfId="211"/>
    <cellStyle name="Обычный 3_дод до поясн" xfId="212"/>
    <cellStyle name="Обычный 4" xfId="213"/>
    <cellStyle name="Обычный 4 2" xfId="214"/>
    <cellStyle name="Обычный 4 2 2" xfId="215"/>
    <cellStyle name="Обычный 4 3" xfId="216"/>
    <cellStyle name="Обычный 4 3 2" xfId="217"/>
    <cellStyle name="Обычный 4 4" xfId="218"/>
    <cellStyle name="Обычный 4_додаткові пропозиції" xfId="219"/>
    <cellStyle name="Обычный 43" xfId="220"/>
    <cellStyle name="Обычный 5" xfId="221"/>
    <cellStyle name="Обычный 6" xfId="222"/>
    <cellStyle name="Обычный 6 2" xfId="223"/>
    <cellStyle name="Обычный 7" xfId="224"/>
    <cellStyle name="Обычный 8" xfId="225"/>
    <cellStyle name="Обычный 9" xfId="226"/>
    <cellStyle name="Обычный 9 2" xfId="227"/>
    <cellStyle name="Обычный_дод 2-9" xfId="228"/>
    <cellStyle name="Обычный_дод 2-9_дод  2-10. з бюджетом розвитку" xfId="229"/>
    <cellStyle name="Обычный_дод 8 до бюджету 2012" xfId="230"/>
    <cellStyle name="Обычный_дод до поясн" xfId="231"/>
    <cellStyle name="Обычный_додаток 6" xfId="232"/>
    <cellStyle name="Обычный_додаток 6_1" xfId="233"/>
    <cellStyle name="Followed Hyperlink" xfId="234"/>
    <cellStyle name="Підсумок" xfId="235"/>
    <cellStyle name="Плохой" xfId="236"/>
    <cellStyle name="Плохой 2" xfId="237"/>
    <cellStyle name="Плохой 3" xfId="238"/>
    <cellStyle name="Поганий" xfId="239"/>
    <cellStyle name="Пояснение" xfId="240"/>
    <cellStyle name="Пояснение 2" xfId="241"/>
    <cellStyle name="Пояснение 3" xfId="242"/>
    <cellStyle name="Примечание" xfId="243"/>
    <cellStyle name="Примечание 2" xfId="244"/>
    <cellStyle name="Примечание 3" xfId="245"/>
    <cellStyle name="Примітка" xfId="246"/>
    <cellStyle name="Percent" xfId="247"/>
    <cellStyle name="Процентный 2" xfId="248"/>
    <cellStyle name="Процентный 2 2" xfId="249"/>
    <cellStyle name="Результат" xfId="250"/>
    <cellStyle name="Связанная ячейка" xfId="251"/>
    <cellStyle name="Связанная ячейка 2" xfId="252"/>
    <cellStyle name="Связанная ячейка 3" xfId="253"/>
    <cellStyle name="Середній" xfId="254"/>
    <cellStyle name="Стиль 1" xfId="255"/>
    <cellStyle name="Текст попередження" xfId="256"/>
    <cellStyle name="Текст пояснення" xfId="257"/>
    <cellStyle name="Текст предупреждения" xfId="258"/>
    <cellStyle name="Текст предупреждения 2" xfId="259"/>
    <cellStyle name="Текст предупреждения 3" xfId="260"/>
    <cellStyle name="Тысячи [0]_Розподіл (2)" xfId="261"/>
    <cellStyle name="Тысячи_бюджет 1998 по клас." xfId="262"/>
    <cellStyle name="Comma" xfId="263"/>
    <cellStyle name="Comma [0]" xfId="264"/>
    <cellStyle name="Финансовый 2" xfId="265"/>
    <cellStyle name="Финансовый 3" xfId="266"/>
    <cellStyle name="Финансовый 3 2" xfId="267"/>
    <cellStyle name="Финансовый 3 2 2" xfId="268"/>
    <cellStyle name="Хороший" xfId="269"/>
    <cellStyle name="Хороший 2" xfId="270"/>
    <cellStyle name="Хороший 3" xfId="2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39"/>
  <sheetViews>
    <sheetView tabSelected="1" view="pageBreakPreview" zoomScale="55" zoomScaleNormal="70" zoomScaleSheetLayoutView="55" zoomScalePageLayoutView="0" workbookViewId="0" topLeftCell="A1">
      <pane ySplit="2" topLeftCell="A655" activePane="bottomLeft" state="frozen"/>
      <selection pane="topLeft" activeCell="A1" sqref="A1"/>
      <selection pane="bottomLeft" activeCell="E670" sqref="E670"/>
    </sheetView>
  </sheetViews>
  <sheetFormatPr defaultColWidth="7" defaultRowHeight="12.75"/>
  <cols>
    <col min="1" max="1" width="14.33203125" style="57" customWidth="1"/>
    <col min="2" max="2" width="32.16015625" style="58" customWidth="1"/>
    <col min="3" max="3" width="67" style="63" customWidth="1"/>
    <col min="4" max="4" width="25.16015625" style="43" customWidth="1"/>
    <col min="5" max="5" width="20.83203125" style="3" customWidth="1"/>
    <col min="6" max="6" width="17.83203125" style="3" customWidth="1"/>
    <col min="7" max="7" width="18.33203125" style="3" customWidth="1"/>
    <col min="8" max="16384" width="7" style="3" customWidth="1"/>
  </cols>
  <sheetData>
    <row r="1" spans="1:4" ht="24">
      <c r="A1" s="83" t="s">
        <v>14</v>
      </c>
      <c r="B1" s="83"/>
      <c r="C1" s="83"/>
      <c r="D1" s="83"/>
    </row>
    <row r="2" spans="1:3" ht="15">
      <c r="A2" s="40"/>
      <c r="B2" s="41"/>
      <c r="C2" s="42"/>
    </row>
    <row r="3" spans="1:3" ht="15">
      <c r="A3" s="40"/>
      <c r="B3" s="41"/>
      <c r="C3" s="42"/>
    </row>
    <row r="4" spans="1:6" ht="150" customHeight="1">
      <c r="A4" s="44" t="s">
        <v>10</v>
      </c>
      <c r="B4" s="45" t="s">
        <v>530</v>
      </c>
      <c r="C4" s="37" t="s">
        <v>11</v>
      </c>
      <c r="D4" s="12" t="s">
        <v>13</v>
      </c>
      <c r="E4" s="12" t="s">
        <v>773</v>
      </c>
      <c r="F4" s="12" t="s">
        <v>774</v>
      </c>
    </row>
    <row r="5" spans="1:6" ht="46.5">
      <c r="A5" s="44" t="s">
        <v>7</v>
      </c>
      <c r="B5" s="45" t="s">
        <v>9</v>
      </c>
      <c r="C5" s="37"/>
      <c r="D5" s="12">
        <f>D6</f>
        <v>226400</v>
      </c>
      <c r="E5" s="12">
        <f>E6</f>
        <v>0</v>
      </c>
      <c r="F5" s="27">
        <f>D5-E5</f>
        <v>226400</v>
      </c>
    </row>
    <row r="6" spans="1:6" ht="46.5">
      <c r="A6" s="44" t="s">
        <v>8</v>
      </c>
      <c r="B6" s="45" t="s">
        <v>9</v>
      </c>
      <c r="C6" s="37"/>
      <c r="D6" s="12">
        <f>D7</f>
        <v>226400</v>
      </c>
      <c r="E6" s="12">
        <f>E7</f>
        <v>0</v>
      </c>
      <c r="F6" s="27">
        <f aca="true" t="shared" si="0" ref="F6:F62">D6-E6</f>
        <v>226400</v>
      </c>
    </row>
    <row r="7" spans="1:6" ht="15">
      <c r="A7" s="74" t="s">
        <v>21</v>
      </c>
      <c r="B7" s="82" t="s">
        <v>20</v>
      </c>
      <c r="C7" s="37"/>
      <c r="D7" s="12">
        <f>SUM(D8:D8)</f>
        <v>226400</v>
      </c>
      <c r="E7" s="12">
        <f>SUM(E8:E8)</f>
        <v>0</v>
      </c>
      <c r="F7" s="27">
        <f t="shared" si="0"/>
        <v>226400</v>
      </c>
    </row>
    <row r="8" spans="1:6" ht="30.75">
      <c r="A8" s="74"/>
      <c r="B8" s="82"/>
      <c r="C8" s="6" t="s">
        <v>119</v>
      </c>
      <c r="D8" s="5">
        <f>215000+11400</f>
        <v>226400</v>
      </c>
      <c r="E8" s="5"/>
      <c r="F8" s="27">
        <f t="shared" si="0"/>
        <v>226400</v>
      </c>
    </row>
    <row r="9" spans="1:6" ht="30.75">
      <c r="A9" s="36" t="s">
        <v>0</v>
      </c>
      <c r="B9" s="37" t="s">
        <v>6</v>
      </c>
      <c r="C9" s="8"/>
      <c r="D9" s="4">
        <f>D10</f>
        <v>118199831.19000001</v>
      </c>
      <c r="E9" s="4">
        <f>E10</f>
        <v>60362133.290000014</v>
      </c>
      <c r="F9" s="27">
        <f t="shared" si="0"/>
        <v>57837697.9</v>
      </c>
    </row>
    <row r="10" spans="1:6" ht="30.75">
      <c r="A10" s="36" t="s">
        <v>1</v>
      </c>
      <c r="B10" s="37" t="s">
        <v>6</v>
      </c>
      <c r="C10" s="8"/>
      <c r="D10" s="4">
        <f>D11+D26+D60+D67+D77+D82+D86+D91+D238+D242+D256+D84+D249+D281+D73+D247+D80</f>
        <v>118199831.19000001</v>
      </c>
      <c r="E10" s="4">
        <f>E11+E26+E60+E67+E77+E82+E86+E91+E238+E242+E256+E84+E249+E281+E73+E247+E80</f>
        <v>60362133.290000014</v>
      </c>
      <c r="F10" s="27">
        <f t="shared" si="0"/>
        <v>57837697.9</v>
      </c>
    </row>
    <row r="11" spans="1:6" ht="15">
      <c r="A11" s="79" t="s">
        <v>22</v>
      </c>
      <c r="B11" s="64" t="s">
        <v>23</v>
      </c>
      <c r="C11" s="8"/>
      <c r="D11" s="4">
        <f>SUM(D12:D25)</f>
        <v>1024213</v>
      </c>
      <c r="E11" s="4">
        <f>SUM(E12:E25)</f>
        <v>0</v>
      </c>
      <c r="F11" s="27">
        <f t="shared" si="0"/>
        <v>1024213</v>
      </c>
    </row>
    <row r="12" spans="1:6" ht="15">
      <c r="A12" s="80"/>
      <c r="B12" s="70"/>
      <c r="C12" s="1" t="s">
        <v>313</v>
      </c>
      <c r="D12" s="2">
        <v>150000</v>
      </c>
      <c r="E12" s="5"/>
      <c r="F12" s="27">
        <f t="shared" si="0"/>
        <v>150000</v>
      </c>
    </row>
    <row r="13" spans="1:6" ht="15">
      <c r="A13" s="80"/>
      <c r="B13" s="70"/>
      <c r="C13" s="1" t="s">
        <v>478</v>
      </c>
      <c r="D13" s="2">
        <v>80000</v>
      </c>
      <c r="E13" s="5"/>
      <c r="F13" s="27">
        <f t="shared" si="0"/>
        <v>80000</v>
      </c>
    </row>
    <row r="14" spans="1:6" ht="30.75">
      <c r="A14" s="80"/>
      <c r="B14" s="70"/>
      <c r="C14" s="1" t="s">
        <v>748</v>
      </c>
      <c r="D14" s="2">
        <v>24000</v>
      </c>
      <c r="E14" s="5"/>
      <c r="F14" s="27">
        <f t="shared" si="0"/>
        <v>24000</v>
      </c>
    </row>
    <row r="15" spans="1:6" ht="15">
      <c r="A15" s="80"/>
      <c r="B15" s="70"/>
      <c r="C15" s="1" t="s">
        <v>312</v>
      </c>
      <c r="D15" s="2">
        <v>20000</v>
      </c>
      <c r="E15" s="5"/>
      <c r="F15" s="27">
        <f t="shared" si="0"/>
        <v>20000</v>
      </c>
    </row>
    <row r="16" spans="1:6" ht="15">
      <c r="A16" s="80"/>
      <c r="B16" s="70"/>
      <c r="C16" s="1" t="s">
        <v>479</v>
      </c>
      <c r="D16" s="2">
        <v>80000</v>
      </c>
      <c r="E16" s="5"/>
      <c r="F16" s="27">
        <f t="shared" si="0"/>
        <v>80000</v>
      </c>
    </row>
    <row r="17" spans="1:6" ht="15">
      <c r="A17" s="80"/>
      <c r="B17" s="70"/>
      <c r="C17" s="6" t="s">
        <v>314</v>
      </c>
      <c r="D17" s="2">
        <v>75000</v>
      </c>
      <c r="E17" s="5"/>
      <c r="F17" s="27">
        <f t="shared" si="0"/>
        <v>75000</v>
      </c>
    </row>
    <row r="18" spans="1:6" ht="15">
      <c r="A18" s="80"/>
      <c r="B18" s="70"/>
      <c r="C18" s="1" t="s">
        <v>311</v>
      </c>
      <c r="D18" s="2">
        <v>120000</v>
      </c>
      <c r="E18" s="5"/>
      <c r="F18" s="27">
        <f t="shared" si="0"/>
        <v>120000</v>
      </c>
    </row>
    <row r="19" spans="1:6" ht="15">
      <c r="A19" s="80"/>
      <c r="B19" s="70"/>
      <c r="C19" s="1" t="s">
        <v>480</v>
      </c>
      <c r="D19" s="2">
        <v>80000</v>
      </c>
      <c r="E19" s="5"/>
      <c r="F19" s="27">
        <f t="shared" si="0"/>
        <v>80000</v>
      </c>
    </row>
    <row r="20" spans="1:6" ht="15">
      <c r="A20" s="80"/>
      <c r="B20" s="70"/>
      <c r="C20" s="1" t="s">
        <v>687</v>
      </c>
      <c r="D20" s="46">
        <v>8000</v>
      </c>
      <c r="E20" s="30"/>
      <c r="F20" s="27">
        <f t="shared" si="0"/>
        <v>8000</v>
      </c>
    </row>
    <row r="21" spans="1:6" ht="15">
      <c r="A21" s="80"/>
      <c r="B21" s="70"/>
      <c r="C21" s="1" t="s">
        <v>481</v>
      </c>
      <c r="D21" s="2">
        <v>80000</v>
      </c>
      <c r="E21" s="5"/>
      <c r="F21" s="27">
        <f t="shared" si="0"/>
        <v>80000</v>
      </c>
    </row>
    <row r="22" spans="1:6" ht="15">
      <c r="A22" s="80"/>
      <c r="B22" s="70"/>
      <c r="C22" s="6" t="s">
        <v>315</v>
      </c>
      <c r="D22" s="2">
        <v>97000</v>
      </c>
      <c r="E22" s="5"/>
      <c r="F22" s="27">
        <f t="shared" si="0"/>
        <v>97000</v>
      </c>
    </row>
    <row r="23" spans="1:6" ht="93">
      <c r="A23" s="80"/>
      <c r="B23" s="70"/>
      <c r="C23" s="6" t="s">
        <v>676</v>
      </c>
      <c r="D23" s="2">
        <v>53227</v>
      </c>
      <c r="E23" s="5"/>
      <c r="F23" s="27">
        <f t="shared" si="0"/>
        <v>53227</v>
      </c>
    </row>
    <row r="24" spans="1:6" ht="103.5" customHeight="1">
      <c r="A24" s="80"/>
      <c r="B24" s="70"/>
      <c r="C24" s="6" t="s">
        <v>570</v>
      </c>
      <c r="D24" s="2">
        <v>73813</v>
      </c>
      <c r="E24" s="5"/>
      <c r="F24" s="27">
        <f t="shared" si="0"/>
        <v>73813</v>
      </c>
    </row>
    <row r="25" spans="1:6" ht="79.5" customHeight="1">
      <c r="A25" s="81"/>
      <c r="B25" s="65"/>
      <c r="C25" s="6" t="s">
        <v>503</v>
      </c>
      <c r="D25" s="2">
        <v>83173</v>
      </c>
      <c r="E25" s="5"/>
      <c r="F25" s="27">
        <f t="shared" si="0"/>
        <v>83173</v>
      </c>
    </row>
    <row r="26" spans="1:6" ht="15" customHeight="1">
      <c r="A26" s="79" t="s">
        <v>24</v>
      </c>
      <c r="B26" s="64" t="s">
        <v>116</v>
      </c>
      <c r="C26" s="1"/>
      <c r="D26" s="4">
        <f>SUM(D27:D59)</f>
        <v>6613450.540000001</v>
      </c>
      <c r="E26" s="4">
        <f>SUM(E27:E59)</f>
        <v>2653571.24</v>
      </c>
      <c r="F26" s="27">
        <f t="shared" si="0"/>
        <v>3959879.3000000007</v>
      </c>
    </row>
    <row r="27" spans="1:6" ht="77.25" customHeight="1">
      <c r="A27" s="80"/>
      <c r="B27" s="70"/>
      <c r="C27" s="1" t="s">
        <v>503</v>
      </c>
      <c r="D27" s="2">
        <v>293822</v>
      </c>
      <c r="E27" s="5"/>
      <c r="F27" s="27">
        <f t="shared" si="0"/>
        <v>293822</v>
      </c>
    </row>
    <row r="28" spans="1:6" ht="93">
      <c r="A28" s="80"/>
      <c r="B28" s="70"/>
      <c r="C28" s="1" t="s">
        <v>677</v>
      </c>
      <c r="D28" s="2">
        <v>54761</v>
      </c>
      <c r="E28" s="5"/>
      <c r="F28" s="27">
        <f t="shared" si="0"/>
        <v>54761</v>
      </c>
    </row>
    <row r="29" spans="1:6" ht="93">
      <c r="A29" s="80"/>
      <c r="B29" s="70"/>
      <c r="C29" s="1" t="s">
        <v>677</v>
      </c>
      <c r="D29" s="2">
        <v>163820.3</v>
      </c>
      <c r="E29" s="5"/>
      <c r="F29" s="27">
        <f t="shared" si="0"/>
        <v>163820.3</v>
      </c>
    </row>
    <row r="30" spans="1:7" ht="93">
      <c r="A30" s="80"/>
      <c r="B30" s="70"/>
      <c r="C30" s="1" t="s">
        <v>678</v>
      </c>
      <c r="D30" s="2">
        <f>680696+291726.86</f>
        <v>972422.86</v>
      </c>
      <c r="E30" s="5">
        <f>185641.31+79560.6+20627.15+8840.21+61881.45+26520.62+17640+7560+20627.14+8840.21+20625.5+8839.5+20405.52+8746.93+47306.63+20274.28+67774.93</f>
        <v>631711.9800000002</v>
      </c>
      <c r="F30" s="27">
        <f t="shared" si="0"/>
        <v>340710.8799999998</v>
      </c>
      <c r="G30" s="47"/>
    </row>
    <row r="31" spans="1:6" ht="139.5" customHeight="1">
      <c r="A31" s="80"/>
      <c r="B31" s="70"/>
      <c r="C31" s="1" t="s">
        <v>679</v>
      </c>
      <c r="D31" s="2">
        <v>124825</v>
      </c>
      <c r="E31" s="5"/>
      <c r="F31" s="27">
        <f t="shared" si="0"/>
        <v>124825</v>
      </c>
    </row>
    <row r="32" spans="1:6" ht="30.75">
      <c r="A32" s="80"/>
      <c r="B32" s="70"/>
      <c r="C32" s="1" t="s">
        <v>572</v>
      </c>
      <c r="D32" s="2">
        <v>300000</v>
      </c>
      <c r="E32" s="5"/>
      <c r="F32" s="27">
        <f t="shared" si="0"/>
        <v>300000</v>
      </c>
    </row>
    <row r="33" spans="1:6" ht="15">
      <c r="A33" s="80"/>
      <c r="B33" s="70"/>
      <c r="C33" s="1" t="s">
        <v>688</v>
      </c>
      <c r="D33" s="2">
        <v>255888.78</v>
      </c>
      <c r="E33" s="5">
        <f>255888.78</f>
        <v>255888.78</v>
      </c>
      <c r="F33" s="27">
        <f t="shared" si="0"/>
        <v>0</v>
      </c>
    </row>
    <row r="34" spans="1:6" ht="93">
      <c r="A34" s="80"/>
      <c r="B34" s="70"/>
      <c r="C34" s="1" t="s">
        <v>680</v>
      </c>
      <c r="D34" s="2">
        <f>150000+150000</f>
        <v>300000</v>
      </c>
      <c r="E34" s="5"/>
      <c r="F34" s="27">
        <f t="shared" si="0"/>
        <v>300000</v>
      </c>
    </row>
    <row r="35" spans="1:6" ht="78">
      <c r="A35" s="80"/>
      <c r="B35" s="70"/>
      <c r="C35" s="1" t="s">
        <v>749</v>
      </c>
      <c r="D35" s="2">
        <f>59159.2</f>
        <v>59159.2</v>
      </c>
      <c r="E35" s="5"/>
      <c r="F35" s="27">
        <f t="shared" si="0"/>
        <v>59159.2</v>
      </c>
    </row>
    <row r="36" spans="1:6" ht="15">
      <c r="A36" s="80"/>
      <c r="B36" s="70"/>
      <c r="C36" s="1" t="s">
        <v>689</v>
      </c>
      <c r="D36" s="2">
        <v>149681</v>
      </c>
      <c r="E36" s="5">
        <f>149681</f>
        <v>149681</v>
      </c>
      <c r="F36" s="27">
        <f t="shared" si="0"/>
        <v>0</v>
      </c>
    </row>
    <row r="37" spans="1:6" ht="15">
      <c r="A37" s="80"/>
      <c r="B37" s="70"/>
      <c r="C37" s="1" t="s">
        <v>573</v>
      </c>
      <c r="D37" s="2">
        <v>30000</v>
      </c>
      <c r="E37" s="5">
        <v>30000</v>
      </c>
      <c r="F37" s="27">
        <f t="shared" si="0"/>
        <v>0</v>
      </c>
    </row>
    <row r="38" spans="1:6" ht="30.75">
      <c r="A38" s="80"/>
      <c r="B38" s="70"/>
      <c r="C38" s="8" t="s">
        <v>317</v>
      </c>
      <c r="D38" s="2">
        <v>200000</v>
      </c>
      <c r="E38" s="5"/>
      <c r="F38" s="27">
        <f t="shared" si="0"/>
        <v>200000</v>
      </c>
    </row>
    <row r="39" spans="1:6" ht="15">
      <c r="A39" s="80"/>
      <c r="B39" s="70"/>
      <c r="C39" s="8" t="s">
        <v>318</v>
      </c>
      <c r="D39" s="2">
        <v>50000</v>
      </c>
      <c r="E39" s="5"/>
      <c r="F39" s="27">
        <f t="shared" si="0"/>
        <v>50000</v>
      </c>
    </row>
    <row r="40" spans="1:6" ht="30.75">
      <c r="A40" s="80"/>
      <c r="B40" s="70"/>
      <c r="C40" s="6" t="s">
        <v>319</v>
      </c>
      <c r="D40" s="2">
        <v>195000</v>
      </c>
      <c r="E40" s="5">
        <f>194671</f>
        <v>194671</v>
      </c>
      <c r="F40" s="27">
        <f t="shared" si="0"/>
        <v>329</v>
      </c>
    </row>
    <row r="41" spans="1:6" ht="15">
      <c r="A41" s="80"/>
      <c r="B41" s="70"/>
      <c r="C41" s="6" t="s">
        <v>320</v>
      </c>
      <c r="D41" s="2">
        <v>195000</v>
      </c>
      <c r="E41" s="5">
        <f>194467.48</f>
        <v>194467.48</v>
      </c>
      <c r="F41" s="27">
        <f t="shared" si="0"/>
        <v>532.5199999999895</v>
      </c>
    </row>
    <row r="42" spans="1:6" ht="15">
      <c r="A42" s="80"/>
      <c r="B42" s="70"/>
      <c r="C42" s="1" t="s">
        <v>501</v>
      </c>
      <c r="D42" s="2">
        <v>200000</v>
      </c>
      <c r="E42" s="5">
        <f>199539</f>
        <v>199539</v>
      </c>
      <c r="F42" s="27">
        <f t="shared" si="0"/>
        <v>461</v>
      </c>
    </row>
    <row r="43" spans="1:6" ht="15">
      <c r="A43" s="80"/>
      <c r="B43" s="70"/>
      <c r="C43" s="1" t="s">
        <v>482</v>
      </c>
      <c r="D43" s="2">
        <v>200000</v>
      </c>
      <c r="E43" s="5">
        <f>99462+103</f>
        <v>99565</v>
      </c>
      <c r="F43" s="27">
        <f t="shared" si="0"/>
        <v>100435</v>
      </c>
    </row>
    <row r="44" spans="1:6" ht="15">
      <c r="A44" s="80"/>
      <c r="B44" s="70"/>
      <c r="C44" s="1" t="s">
        <v>483</v>
      </c>
      <c r="D44" s="2">
        <v>200000</v>
      </c>
      <c r="E44" s="5">
        <f>199000</f>
        <v>199000</v>
      </c>
      <c r="F44" s="27">
        <f t="shared" si="0"/>
        <v>1000</v>
      </c>
    </row>
    <row r="45" spans="1:6" ht="15">
      <c r="A45" s="80"/>
      <c r="B45" s="70"/>
      <c r="C45" s="1" t="s">
        <v>484</v>
      </c>
      <c r="D45" s="2">
        <v>200000</v>
      </c>
      <c r="E45" s="5">
        <f>99953</f>
        <v>99953</v>
      </c>
      <c r="F45" s="27">
        <f t="shared" si="0"/>
        <v>100047</v>
      </c>
    </row>
    <row r="46" spans="1:6" ht="30.75">
      <c r="A46" s="80"/>
      <c r="B46" s="70"/>
      <c r="C46" s="8" t="s">
        <v>571</v>
      </c>
      <c r="D46" s="2">
        <v>70000</v>
      </c>
      <c r="E46" s="5"/>
      <c r="F46" s="27">
        <f t="shared" si="0"/>
        <v>70000</v>
      </c>
    </row>
    <row r="47" spans="1:6" ht="30.75">
      <c r="A47" s="80"/>
      <c r="B47" s="70"/>
      <c r="C47" s="8" t="s">
        <v>316</v>
      </c>
      <c r="D47" s="2">
        <v>200000</v>
      </c>
      <c r="E47" s="5"/>
      <c r="F47" s="27">
        <f t="shared" si="0"/>
        <v>200000</v>
      </c>
    </row>
    <row r="48" spans="1:6" ht="15">
      <c r="A48" s="80"/>
      <c r="B48" s="70"/>
      <c r="C48" s="1" t="s">
        <v>485</v>
      </c>
      <c r="D48" s="2">
        <v>200000</v>
      </c>
      <c r="E48" s="5"/>
      <c r="F48" s="27">
        <f t="shared" si="0"/>
        <v>200000</v>
      </c>
    </row>
    <row r="49" spans="1:6" ht="15">
      <c r="A49" s="80"/>
      <c r="B49" s="70"/>
      <c r="C49" s="1" t="s">
        <v>486</v>
      </c>
      <c r="D49" s="2">
        <v>200000</v>
      </c>
      <c r="E49" s="5"/>
      <c r="F49" s="27">
        <f t="shared" si="0"/>
        <v>200000</v>
      </c>
    </row>
    <row r="50" spans="1:6" ht="15">
      <c r="A50" s="80"/>
      <c r="B50" s="70"/>
      <c r="C50" s="1" t="s">
        <v>487</v>
      </c>
      <c r="D50" s="2">
        <v>200000</v>
      </c>
      <c r="E50" s="5"/>
      <c r="F50" s="27">
        <f t="shared" si="0"/>
        <v>200000</v>
      </c>
    </row>
    <row r="51" spans="1:6" ht="30.75">
      <c r="A51" s="80"/>
      <c r="B51" s="70"/>
      <c r="C51" s="1" t="s">
        <v>646</v>
      </c>
      <c r="D51" s="2">
        <v>120000</v>
      </c>
      <c r="E51" s="5"/>
      <c r="F51" s="27">
        <f t="shared" si="0"/>
        <v>120000</v>
      </c>
    </row>
    <row r="52" spans="1:6" ht="15">
      <c r="A52" s="80"/>
      <c r="B52" s="70"/>
      <c r="C52" s="1" t="s">
        <v>488</v>
      </c>
      <c r="D52" s="2">
        <v>200000</v>
      </c>
      <c r="E52" s="5">
        <f>199567</f>
        <v>199567</v>
      </c>
      <c r="F52" s="27">
        <f t="shared" si="0"/>
        <v>433</v>
      </c>
    </row>
    <row r="53" spans="1:6" ht="15">
      <c r="A53" s="80"/>
      <c r="B53" s="70"/>
      <c r="C53" s="1" t="s">
        <v>489</v>
      </c>
      <c r="D53" s="2">
        <v>200000</v>
      </c>
      <c r="E53" s="5">
        <f>199675</f>
        <v>199675</v>
      </c>
      <c r="F53" s="27">
        <f t="shared" si="0"/>
        <v>325</v>
      </c>
    </row>
    <row r="54" spans="1:6" ht="15">
      <c r="A54" s="80"/>
      <c r="B54" s="70"/>
      <c r="C54" s="1" t="s">
        <v>490</v>
      </c>
      <c r="D54" s="2">
        <v>200000</v>
      </c>
      <c r="E54" s="5">
        <f>199852</f>
        <v>199852</v>
      </c>
      <c r="F54" s="27">
        <f t="shared" si="0"/>
        <v>148</v>
      </c>
    </row>
    <row r="55" spans="1:6" ht="15">
      <c r="A55" s="80"/>
      <c r="B55" s="70"/>
      <c r="C55" s="6" t="s">
        <v>321</v>
      </c>
      <c r="D55" s="2">
        <v>50000</v>
      </c>
      <c r="E55" s="5"/>
      <c r="F55" s="27">
        <f t="shared" si="0"/>
        <v>50000</v>
      </c>
    </row>
    <row r="56" spans="1:6" ht="78">
      <c r="A56" s="80"/>
      <c r="B56" s="70"/>
      <c r="C56" s="6" t="s">
        <v>750</v>
      </c>
      <c r="D56" s="2">
        <v>127355.9</v>
      </c>
      <c r="E56" s="5"/>
      <c r="F56" s="27">
        <f t="shared" si="0"/>
        <v>127355.9</v>
      </c>
    </row>
    <row r="57" spans="1:6" ht="93">
      <c r="A57" s="80"/>
      <c r="B57" s="70"/>
      <c r="C57" s="6" t="s">
        <v>681</v>
      </c>
      <c r="D57" s="2">
        <f>150000+150000</f>
        <v>300000</v>
      </c>
      <c r="E57" s="5"/>
      <c r="F57" s="27">
        <f t="shared" si="0"/>
        <v>300000</v>
      </c>
    </row>
    <row r="58" spans="1:6" ht="78">
      <c r="A58" s="80"/>
      <c r="B58" s="70"/>
      <c r="C58" s="6" t="s">
        <v>751</v>
      </c>
      <c r="D58" s="2">
        <v>245000</v>
      </c>
      <c r="E58" s="5"/>
      <c r="F58" s="27">
        <f t="shared" si="0"/>
        <v>245000</v>
      </c>
    </row>
    <row r="59" spans="1:6" ht="78">
      <c r="A59" s="81"/>
      <c r="B59" s="65"/>
      <c r="C59" s="6" t="s">
        <v>752</v>
      </c>
      <c r="D59" s="2">
        <v>156714.5</v>
      </c>
      <c r="E59" s="5"/>
      <c r="F59" s="27">
        <f t="shared" si="0"/>
        <v>156714.5</v>
      </c>
    </row>
    <row r="60" spans="1:6" ht="21" customHeight="1">
      <c r="A60" s="79" t="s">
        <v>25</v>
      </c>
      <c r="B60" s="64" t="s">
        <v>117</v>
      </c>
      <c r="C60" s="1"/>
      <c r="D60" s="4">
        <f>SUM(D61:D66)</f>
        <v>893000</v>
      </c>
      <c r="E60" s="4">
        <f>SUM(E61:E66)</f>
        <v>0</v>
      </c>
      <c r="F60" s="27">
        <f t="shared" si="0"/>
        <v>893000</v>
      </c>
    </row>
    <row r="61" spans="1:6" ht="78">
      <c r="A61" s="80"/>
      <c r="B61" s="70"/>
      <c r="C61" s="1" t="s">
        <v>682</v>
      </c>
      <c r="D61" s="2">
        <f>250000+250000</f>
        <v>500000</v>
      </c>
      <c r="E61" s="4"/>
      <c r="F61" s="27">
        <f t="shared" si="0"/>
        <v>500000</v>
      </c>
    </row>
    <row r="62" spans="1:6" ht="15">
      <c r="A62" s="80"/>
      <c r="B62" s="70"/>
      <c r="C62" s="1" t="s">
        <v>690</v>
      </c>
      <c r="D62" s="2">
        <v>185000</v>
      </c>
      <c r="E62" s="4"/>
      <c r="F62" s="27">
        <f t="shared" si="0"/>
        <v>185000</v>
      </c>
    </row>
    <row r="63" spans="1:6" ht="15">
      <c r="A63" s="80"/>
      <c r="B63" s="70"/>
      <c r="C63" s="9" t="s">
        <v>574</v>
      </c>
      <c r="D63" s="5">
        <v>10000</v>
      </c>
      <c r="E63" s="5"/>
      <c r="F63" s="27">
        <f aca="true" t="shared" si="1" ref="F63:F92">D63-E63</f>
        <v>10000</v>
      </c>
    </row>
    <row r="64" spans="1:6" ht="15">
      <c r="A64" s="80"/>
      <c r="B64" s="70"/>
      <c r="C64" s="9" t="s">
        <v>575</v>
      </c>
      <c r="D64" s="5">
        <v>8500</v>
      </c>
      <c r="E64" s="5"/>
      <c r="F64" s="27">
        <f t="shared" si="1"/>
        <v>8500</v>
      </c>
    </row>
    <row r="65" spans="1:6" ht="15">
      <c r="A65" s="80"/>
      <c r="B65" s="70"/>
      <c r="C65" s="9" t="s">
        <v>576</v>
      </c>
      <c r="D65" s="5">
        <v>8000</v>
      </c>
      <c r="E65" s="5"/>
      <c r="F65" s="27">
        <f t="shared" si="1"/>
        <v>8000</v>
      </c>
    </row>
    <row r="66" spans="1:6" ht="15">
      <c r="A66" s="81"/>
      <c r="B66" s="65"/>
      <c r="C66" s="9" t="s">
        <v>577</v>
      </c>
      <c r="D66" s="5">
        <v>181500</v>
      </c>
      <c r="E66" s="5"/>
      <c r="F66" s="27">
        <f t="shared" si="1"/>
        <v>181500</v>
      </c>
    </row>
    <row r="67" spans="1:6" ht="21" customHeight="1">
      <c r="A67" s="79" t="s">
        <v>26</v>
      </c>
      <c r="B67" s="64" t="s">
        <v>118</v>
      </c>
      <c r="C67" s="1"/>
      <c r="D67" s="4">
        <f>SUM(D68:D72)</f>
        <v>1000000</v>
      </c>
      <c r="E67" s="4">
        <f>SUM(E68:E72)</f>
        <v>0</v>
      </c>
      <c r="F67" s="27">
        <f t="shared" si="1"/>
        <v>1000000</v>
      </c>
    </row>
    <row r="68" spans="1:6" ht="30.75">
      <c r="A68" s="80"/>
      <c r="B68" s="70"/>
      <c r="C68" s="10" t="s">
        <v>579</v>
      </c>
      <c r="D68" s="5">
        <v>200000</v>
      </c>
      <c r="E68" s="5"/>
      <c r="F68" s="27">
        <f t="shared" si="1"/>
        <v>200000</v>
      </c>
    </row>
    <row r="69" spans="1:6" ht="15">
      <c r="A69" s="80"/>
      <c r="B69" s="70"/>
      <c r="C69" s="10" t="s">
        <v>580</v>
      </c>
      <c r="D69" s="5">
        <v>200000</v>
      </c>
      <c r="E69" s="5"/>
      <c r="F69" s="27">
        <f t="shared" si="1"/>
        <v>200000</v>
      </c>
    </row>
    <row r="70" spans="1:6" ht="15">
      <c r="A70" s="80"/>
      <c r="B70" s="70"/>
      <c r="C70" s="10" t="s">
        <v>581</v>
      </c>
      <c r="D70" s="5">
        <v>200000</v>
      </c>
      <c r="E70" s="5"/>
      <c r="F70" s="27">
        <f t="shared" si="1"/>
        <v>200000</v>
      </c>
    </row>
    <row r="71" spans="1:6" ht="15">
      <c r="A71" s="80"/>
      <c r="B71" s="70"/>
      <c r="C71" s="10" t="s">
        <v>582</v>
      </c>
      <c r="D71" s="5">
        <v>200000</v>
      </c>
      <c r="E71" s="5"/>
      <c r="F71" s="27">
        <f t="shared" si="1"/>
        <v>200000</v>
      </c>
    </row>
    <row r="72" spans="1:6" ht="15">
      <c r="A72" s="81"/>
      <c r="B72" s="65"/>
      <c r="C72" s="10" t="s">
        <v>583</v>
      </c>
      <c r="D72" s="5">
        <v>200000</v>
      </c>
      <c r="E72" s="5"/>
      <c r="F72" s="27">
        <f t="shared" si="1"/>
        <v>200000</v>
      </c>
    </row>
    <row r="73" spans="1:6" ht="21" customHeight="1">
      <c r="A73" s="79" t="s">
        <v>27</v>
      </c>
      <c r="B73" s="66" t="s">
        <v>28</v>
      </c>
      <c r="C73" s="8"/>
      <c r="D73" s="11">
        <f>SUM(D74:D76)</f>
        <v>1933916</v>
      </c>
      <c r="E73" s="11">
        <f>SUM(E74:E76)</f>
        <v>11016</v>
      </c>
      <c r="F73" s="27">
        <f t="shared" si="1"/>
        <v>1922900</v>
      </c>
    </row>
    <row r="74" spans="1:6" ht="108.75">
      <c r="A74" s="80"/>
      <c r="B74" s="94"/>
      <c r="C74" s="8" t="s">
        <v>578</v>
      </c>
      <c r="D74" s="2">
        <v>11016</v>
      </c>
      <c r="E74" s="5">
        <v>11016</v>
      </c>
      <c r="F74" s="27">
        <f t="shared" si="1"/>
        <v>0</v>
      </c>
    </row>
    <row r="75" spans="1:6" ht="108.75">
      <c r="A75" s="80"/>
      <c r="B75" s="94"/>
      <c r="C75" s="8" t="s">
        <v>753</v>
      </c>
      <c r="D75" s="2">
        <v>1622900</v>
      </c>
      <c r="E75" s="5"/>
      <c r="F75" s="27">
        <f t="shared" si="1"/>
        <v>1622900</v>
      </c>
    </row>
    <row r="76" spans="1:6" ht="93">
      <c r="A76" s="81"/>
      <c r="B76" s="67"/>
      <c r="C76" s="8" t="s">
        <v>754</v>
      </c>
      <c r="D76" s="2">
        <v>300000</v>
      </c>
      <c r="E76" s="5"/>
      <c r="F76" s="27">
        <f t="shared" si="1"/>
        <v>300000</v>
      </c>
    </row>
    <row r="77" spans="1:6" ht="21" customHeight="1">
      <c r="A77" s="79" t="s">
        <v>29</v>
      </c>
      <c r="B77" s="95" t="s">
        <v>30</v>
      </c>
      <c r="C77" s="8"/>
      <c r="D77" s="4">
        <f>SUM(D78:D79)</f>
        <v>3313950</v>
      </c>
      <c r="E77" s="4">
        <f>SUM(E78:E79)</f>
        <v>0</v>
      </c>
      <c r="F77" s="27">
        <f t="shared" si="1"/>
        <v>3313950</v>
      </c>
    </row>
    <row r="78" spans="1:6" ht="21" customHeight="1">
      <c r="A78" s="80"/>
      <c r="B78" s="96"/>
      <c r="C78" s="8" t="s">
        <v>691</v>
      </c>
      <c r="D78" s="2">
        <f>313950+2000000</f>
        <v>2313950</v>
      </c>
      <c r="E78" s="4"/>
      <c r="F78" s="27">
        <f t="shared" si="1"/>
        <v>2313950</v>
      </c>
    </row>
    <row r="79" spans="1:6" ht="30.75">
      <c r="A79" s="80"/>
      <c r="B79" s="96"/>
      <c r="C79" s="9" t="s">
        <v>660</v>
      </c>
      <c r="D79" s="7">
        <v>1000000</v>
      </c>
      <c r="E79" s="5"/>
      <c r="F79" s="27">
        <f t="shared" si="1"/>
        <v>1000000</v>
      </c>
    </row>
    <row r="80" spans="1:6" ht="21" customHeight="1">
      <c r="A80" s="87" t="s">
        <v>692</v>
      </c>
      <c r="B80" s="75" t="s">
        <v>693</v>
      </c>
      <c r="C80" s="1"/>
      <c r="D80" s="4">
        <f>D81</f>
        <v>489060</v>
      </c>
      <c r="E80" s="4">
        <f>E81</f>
        <v>0</v>
      </c>
      <c r="F80" s="27">
        <f t="shared" si="1"/>
        <v>489060</v>
      </c>
    </row>
    <row r="81" spans="1:6" ht="71.25" customHeight="1">
      <c r="A81" s="87"/>
      <c r="B81" s="75"/>
      <c r="C81" s="1" t="s">
        <v>694</v>
      </c>
      <c r="D81" s="2">
        <v>489060</v>
      </c>
      <c r="E81" s="5"/>
      <c r="F81" s="27">
        <f t="shared" si="1"/>
        <v>489060</v>
      </c>
    </row>
    <row r="82" spans="1:6" ht="21" customHeight="1">
      <c r="A82" s="66" t="s">
        <v>31</v>
      </c>
      <c r="B82" s="64" t="s">
        <v>32</v>
      </c>
      <c r="C82" s="1"/>
      <c r="D82" s="4">
        <f>D83</f>
        <v>400000</v>
      </c>
      <c r="E82" s="4">
        <f>E83</f>
        <v>199900</v>
      </c>
      <c r="F82" s="27">
        <f t="shared" si="1"/>
        <v>200100</v>
      </c>
    </row>
    <row r="83" spans="1:6" ht="30.75">
      <c r="A83" s="67"/>
      <c r="B83" s="65"/>
      <c r="C83" s="1" t="s">
        <v>322</v>
      </c>
      <c r="D83" s="2">
        <v>400000</v>
      </c>
      <c r="E83" s="5">
        <f>199900</f>
        <v>199900</v>
      </c>
      <c r="F83" s="27">
        <f t="shared" si="1"/>
        <v>200100</v>
      </c>
    </row>
    <row r="84" spans="1:6" ht="21" customHeight="1">
      <c r="A84" s="66" t="s">
        <v>33</v>
      </c>
      <c r="B84" s="64" t="s">
        <v>34</v>
      </c>
      <c r="C84" s="1"/>
      <c r="D84" s="4">
        <f>D85</f>
        <v>284000</v>
      </c>
      <c r="E84" s="4">
        <f>E85</f>
        <v>0</v>
      </c>
      <c r="F84" s="27">
        <f t="shared" si="1"/>
        <v>284000</v>
      </c>
    </row>
    <row r="85" spans="1:6" ht="15">
      <c r="A85" s="67"/>
      <c r="B85" s="65"/>
      <c r="C85" s="1" t="s">
        <v>323</v>
      </c>
      <c r="D85" s="2">
        <f>2308000-2024000</f>
        <v>284000</v>
      </c>
      <c r="E85" s="5"/>
      <c r="F85" s="27">
        <f t="shared" si="1"/>
        <v>284000</v>
      </c>
    </row>
    <row r="86" spans="1:6" ht="21" customHeight="1">
      <c r="A86" s="79" t="s">
        <v>35</v>
      </c>
      <c r="B86" s="76" t="s">
        <v>36</v>
      </c>
      <c r="C86" s="1"/>
      <c r="D86" s="4">
        <f>SUM(D87:D90)</f>
        <v>1025895</v>
      </c>
      <c r="E86" s="4">
        <f>SUM(E87:E90)</f>
        <v>202600</v>
      </c>
      <c r="F86" s="27">
        <f t="shared" si="1"/>
        <v>823295</v>
      </c>
    </row>
    <row r="87" spans="1:6" ht="46.5">
      <c r="A87" s="80"/>
      <c r="B87" s="77"/>
      <c r="C87" s="1" t="s">
        <v>324</v>
      </c>
      <c r="D87" s="2">
        <v>617614</v>
      </c>
      <c r="E87" s="5">
        <f>202600</f>
        <v>202600</v>
      </c>
      <c r="F87" s="27">
        <f t="shared" si="1"/>
        <v>415014</v>
      </c>
    </row>
    <row r="88" spans="1:6" ht="30.75" customHeight="1">
      <c r="A88" s="80"/>
      <c r="B88" s="77"/>
      <c r="C88" s="1" t="s">
        <v>695</v>
      </c>
      <c r="D88" s="2">
        <v>210000</v>
      </c>
      <c r="E88" s="5"/>
      <c r="F88" s="27">
        <f t="shared" si="1"/>
        <v>210000</v>
      </c>
    </row>
    <row r="89" spans="1:6" ht="30.75" customHeight="1">
      <c r="A89" s="80"/>
      <c r="B89" s="77"/>
      <c r="C89" s="1" t="s">
        <v>696</v>
      </c>
      <c r="D89" s="2">
        <v>128281</v>
      </c>
      <c r="E89" s="5"/>
      <c r="F89" s="27">
        <f t="shared" si="1"/>
        <v>128281</v>
      </c>
    </row>
    <row r="90" spans="1:6" ht="30.75">
      <c r="A90" s="80"/>
      <c r="B90" s="77"/>
      <c r="C90" s="1" t="s">
        <v>325</v>
      </c>
      <c r="D90" s="2">
        <v>70000</v>
      </c>
      <c r="E90" s="5"/>
      <c r="F90" s="27">
        <f t="shared" si="1"/>
        <v>70000</v>
      </c>
    </row>
    <row r="91" spans="1:6" ht="20.25" customHeight="1">
      <c r="A91" s="71" t="s">
        <v>37</v>
      </c>
      <c r="B91" s="76" t="s">
        <v>38</v>
      </c>
      <c r="C91" s="13"/>
      <c r="D91" s="4">
        <f>SUM(D92:D237)</f>
        <v>82668669.98</v>
      </c>
      <c r="E91" s="4">
        <f>SUM(E92:E237)</f>
        <v>48878693.06000002</v>
      </c>
      <c r="F91" s="27">
        <f t="shared" si="1"/>
        <v>33789976.91999999</v>
      </c>
    </row>
    <row r="92" spans="1:6" ht="30.75" customHeight="1">
      <c r="A92" s="72"/>
      <c r="B92" s="77"/>
      <c r="C92" s="1" t="s">
        <v>339</v>
      </c>
      <c r="D92" s="2">
        <v>200000</v>
      </c>
      <c r="E92" s="5"/>
      <c r="F92" s="27">
        <f t="shared" si="1"/>
        <v>200000</v>
      </c>
    </row>
    <row r="93" spans="1:6" ht="30.75">
      <c r="A93" s="72"/>
      <c r="B93" s="77"/>
      <c r="C93" s="1" t="s">
        <v>340</v>
      </c>
      <c r="D93" s="2">
        <v>70000</v>
      </c>
      <c r="E93" s="5"/>
      <c r="F93" s="27">
        <f aca="true" t="shared" si="2" ref="F93:F141">D93-E93</f>
        <v>70000</v>
      </c>
    </row>
    <row r="94" spans="1:6" ht="15">
      <c r="A94" s="72"/>
      <c r="B94" s="77"/>
      <c r="C94" s="6" t="s">
        <v>376</v>
      </c>
      <c r="D94" s="2">
        <v>793612.3</v>
      </c>
      <c r="E94" s="5">
        <f>560650.8</f>
        <v>560650.8</v>
      </c>
      <c r="F94" s="27">
        <f t="shared" si="2"/>
        <v>232961.5</v>
      </c>
    </row>
    <row r="95" spans="1:6" ht="62.25">
      <c r="A95" s="72"/>
      <c r="B95" s="77"/>
      <c r="C95" s="6" t="s">
        <v>377</v>
      </c>
      <c r="D95" s="2">
        <f>298529.4+306470.6</f>
        <v>605000</v>
      </c>
      <c r="E95" s="5">
        <f>297155.97+35292.62</f>
        <v>332448.58999999997</v>
      </c>
      <c r="F95" s="27">
        <f t="shared" si="2"/>
        <v>272551.41000000003</v>
      </c>
    </row>
    <row r="96" spans="1:6" ht="21" customHeight="1">
      <c r="A96" s="72"/>
      <c r="B96" s="77"/>
      <c r="C96" s="1" t="s">
        <v>697</v>
      </c>
      <c r="D96" s="2">
        <v>12513</v>
      </c>
      <c r="E96" s="5">
        <f>12513</f>
        <v>12513</v>
      </c>
      <c r="F96" s="27">
        <f t="shared" si="2"/>
        <v>0</v>
      </c>
    </row>
    <row r="97" spans="1:6" ht="21" customHeight="1">
      <c r="A97" s="72"/>
      <c r="B97" s="77"/>
      <c r="C97" s="1" t="s">
        <v>698</v>
      </c>
      <c r="D97" s="2">
        <v>340000</v>
      </c>
      <c r="E97" s="5"/>
      <c r="F97" s="27">
        <f t="shared" si="2"/>
        <v>340000</v>
      </c>
    </row>
    <row r="98" spans="1:6" ht="21" customHeight="1">
      <c r="A98" s="72"/>
      <c r="B98" s="77"/>
      <c r="C98" s="1" t="s">
        <v>699</v>
      </c>
      <c r="D98" s="2">
        <v>9720</v>
      </c>
      <c r="E98" s="5">
        <f>9678</f>
        <v>9678</v>
      </c>
      <c r="F98" s="27">
        <f t="shared" si="2"/>
        <v>42</v>
      </c>
    </row>
    <row r="99" spans="1:6" ht="15">
      <c r="A99" s="72"/>
      <c r="B99" s="77"/>
      <c r="C99" s="1" t="s">
        <v>405</v>
      </c>
      <c r="D99" s="2">
        <v>1273381</v>
      </c>
      <c r="E99" s="5">
        <f>360522+330181+39261+20830.74</f>
        <v>750794.74</v>
      </c>
      <c r="F99" s="27">
        <f t="shared" si="2"/>
        <v>522586.26</v>
      </c>
    </row>
    <row r="100" spans="1:6" ht="15">
      <c r="A100" s="72"/>
      <c r="B100" s="77"/>
      <c r="C100" s="6" t="s">
        <v>380</v>
      </c>
      <c r="D100" s="2">
        <v>678702.96</v>
      </c>
      <c r="E100" s="5">
        <f>488811+2505</f>
        <v>491316</v>
      </c>
      <c r="F100" s="27">
        <f t="shared" si="2"/>
        <v>187386.95999999996</v>
      </c>
    </row>
    <row r="101" spans="1:6" ht="15">
      <c r="A101" s="72"/>
      <c r="B101" s="77"/>
      <c r="C101" s="6" t="s">
        <v>371</v>
      </c>
      <c r="D101" s="2">
        <f>2839220-100000</f>
        <v>2739220</v>
      </c>
      <c r="E101" s="5">
        <f>843749.6+163429.2+864.16</f>
        <v>1008042.9600000001</v>
      </c>
      <c r="F101" s="27">
        <f t="shared" si="2"/>
        <v>1731177.04</v>
      </c>
    </row>
    <row r="102" spans="1:6" ht="15">
      <c r="A102" s="72"/>
      <c r="B102" s="77"/>
      <c r="C102" s="6" t="s">
        <v>372</v>
      </c>
      <c r="D102" s="2">
        <v>3814</v>
      </c>
      <c r="E102" s="5"/>
      <c r="F102" s="27">
        <f t="shared" si="2"/>
        <v>3814</v>
      </c>
    </row>
    <row r="103" spans="1:6" ht="30.75">
      <c r="A103" s="72"/>
      <c r="B103" s="77"/>
      <c r="C103" s="1" t="s">
        <v>359</v>
      </c>
      <c r="D103" s="2">
        <v>394171</v>
      </c>
      <c r="E103" s="5">
        <f>394171</f>
        <v>394171</v>
      </c>
      <c r="F103" s="27">
        <f t="shared" si="2"/>
        <v>0</v>
      </c>
    </row>
    <row r="104" spans="1:6" ht="15">
      <c r="A104" s="72"/>
      <c r="B104" s="77"/>
      <c r="C104" s="1" t="s">
        <v>585</v>
      </c>
      <c r="D104" s="2">
        <f>580000-500000</f>
        <v>80000</v>
      </c>
      <c r="E104" s="5">
        <f>41197.45</f>
        <v>41197.45</v>
      </c>
      <c r="F104" s="27">
        <f t="shared" si="2"/>
        <v>38802.55</v>
      </c>
    </row>
    <row r="105" spans="1:6" ht="15">
      <c r="A105" s="72"/>
      <c r="B105" s="77"/>
      <c r="C105" s="1" t="s">
        <v>365</v>
      </c>
      <c r="D105" s="2">
        <v>5570</v>
      </c>
      <c r="E105" s="5"/>
      <c r="F105" s="27">
        <f t="shared" si="2"/>
        <v>5570</v>
      </c>
    </row>
    <row r="106" spans="1:6" ht="15">
      <c r="A106" s="72"/>
      <c r="B106" s="77"/>
      <c r="C106" s="1" t="s">
        <v>366</v>
      </c>
      <c r="D106" s="2">
        <v>300000</v>
      </c>
      <c r="E106" s="5">
        <f>147867.5+149988.18</f>
        <v>297855.68</v>
      </c>
      <c r="F106" s="27">
        <f t="shared" si="2"/>
        <v>2144.320000000007</v>
      </c>
    </row>
    <row r="107" spans="1:6" ht="46.5">
      <c r="A107" s="72"/>
      <c r="B107" s="77"/>
      <c r="C107" s="1" t="s">
        <v>705</v>
      </c>
      <c r="D107" s="2">
        <v>330000</v>
      </c>
      <c r="E107" s="5"/>
      <c r="F107" s="27">
        <f t="shared" si="2"/>
        <v>330000</v>
      </c>
    </row>
    <row r="108" spans="1:6" ht="39.75" customHeight="1">
      <c r="A108" s="72"/>
      <c r="B108" s="77"/>
      <c r="C108" s="1" t="s">
        <v>367</v>
      </c>
      <c r="D108" s="2">
        <v>21610</v>
      </c>
      <c r="E108" s="5">
        <f>21609.5</f>
        <v>21609.5</v>
      </c>
      <c r="F108" s="27">
        <f t="shared" si="2"/>
        <v>0.5</v>
      </c>
    </row>
    <row r="109" spans="1:6" ht="15">
      <c r="A109" s="72"/>
      <c r="B109" s="77"/>
      <c r="C109" s="1" t="s">
        <v>360</v>
      </c>
      <c r="D109" s="2">
        <f>290000+1200000-69000</f>
        <v>1421000</v>
      </c>
      <c r="E109" s="5">
        <f>297157.62+1116607+14210-6974.62</f>
        <v>1421000</v>
      </c>
      <c r="F109" s="27">
        <f t="shared" si="2"/>
        <v>0</v>
      </c>
    </row>
    <row r="110" spans="1:6" ht="30.75">
      <c r="A110" s="72"/>
      <c r="B110" s="77"/>
      <c r="C110" s="1" t="s">
        <v>349</v>
      </c>
      <c r="D110" s="2">
        <v>500000</v>
      </c>
      <c r="E110" s="5">
        <f>7020+242477.82</f>
        <v>249497.82</v>
      </c>
      <c r="F110" s="27">
        <f t="shared" si="2"/>
        <v>250502.18</v>
      </c>
    </row>
    <row r="111" spans="1:6" ht="81.75" customHeight="1" hidden="1">
      <c r="A111" s="72"/>
      <c r="B111" s="77"/>
      <c r="C111" s="1" t="s">
        <v>361</v>
      </c>
      <c r="D111" s="2">
        <f>89164.56-89164.56</f>
        <v>0</v>
      </c>
      <c r="E111" s="5"/>
      <c r="F111" s="27">
        <f t="shared" si="2"/>
        <v>0</v>
      </c>
    </row>
    <row r="112" spans="1:6" ht="15">
      <c r="A112" s="72"/>
      <c r="B112" s="77"/>
      <c r="C112" s="1" t="s">
        <v>520</v>
      </c>
      <c r="D112" s="2">
        <v>700000</v>
      </c>
      <c r="E112" s="5">
        <f>319177+50175+3973.33</f>
        <v>373325.33</v>
      </c>
      <c r="F112" s="27">
        <f t="shared" si="2"/>
        <v>326674.67</v>
      </c>
    </row>
    <row r="113" spans="1:6" ht="15">
      <c r="A113" s="72"/>
      <c r="B113" s="77"/>
      <c r="C113" s="1" t="s">
        <v>343</v>
      </c>
      <c r="D113" s="2">
        <v>896000</v>
      </c>
      <c r="E113" s="5">
        <f>410524.3+50134.74+410524.3</f>
        <v>871183.34</v>
      </c>
      <c r="F113" s="27">
        <f t="shared" si="2"/>
        <v>24816.660000000033</v>
      </c>
    </row>
    <row r="114" spans="1:6" ht="30.75">
      <c r="A114" s="72"/>
      <c r="B114" s="77"/>
      <c r="C114" s="8" t="s">
        <v>357</v>
      </c>
      <c r="D114" s="2">
        <f>810000-670000</f>
        <v>140000</v>
      </c>
      <c r="E114" s="5">
        <f>23188.8</f>
        <v>23188.8</v>
      </c>
      <c r="F114" s="27">
        <f t="shared" si="2"/>
        <v>116811.2</v>
      </c>
    </row>
    <row r="115" spans="1:6" ht="36.75" customHeight="1">
      <c r="A115" s="72"/>
      <c r="B115" s="77"/>
      <c r="C115" s="1" t="s">
        <v>368</v>
      </c>
      <c r="D115" s="2">
        <f>53517-35000-18517</f>
        <v>0</v>
      </c>
      <c r="E115" s="5"/>
      <c r="F115" s="27">
        <f t="shared" si="2"/>
        <v>0</v>
      </c>
    </row>
    <row r="116" spans="1:6" ht="15">
      <c r="A116" s="72"/>
      <c r="B116" s="77"/>
      <c r="C116" s="1" t="s">
        <v>369</v>
      </c>
      <c r="D116" s="2">
        <f>35220-35019</f>
        <v>201</v>
      </c>
      <c r="E116" s="5"/>
      <c r="F116" s="27">
        <f t="shared" si="2"/>
        <v>201</v>
      </c>
    </row>
    <row r="117" spans="1:6" ht="30.75">
      <c r="A117" s="72"/>
      <c r="B117" s="77"/>
      <c r="C117" s="1" t="s">
        <v>370</v>
      </c>
      <c r="D117" s="2">
        <v>35266</v>
      </c>
      <c r="E117" s="5"/>
      <c r="F117" s="27">
        <f t="shared" si="2"/>
        <v>35266</v>
      </c>
    </row>
    <row r="118" spans="1:6" ht="30.75" customHeight="1">
      <c r="A118" s="72"/>
      <c r="B118" s="77"/>
      <c r="C118" s="1" t="s">
        <v>351</v>
      </c>
      <c r="D118" s="2">
        <v>170000</v>
      </c>
      <c r="E118" s="5">
        <f>157116</f>
        <v>157116</v>
      </c>
      <c r="F118" s="27">
        <f t="shared" si="2"/>
        <v>12884</v>
      </c>
    </row>
    <row r="119" spans="1:6" ht="46.5">
      <c r="A119" s="72"/>
      <c r="B119" s="77"/>
      <c r="C119" s="1" t="s">
        <v>703</v>
      </c>
      <c r="D119" s="2">
        <v>330000</v>
      </c>
      <c r="E119" s="5"/>
      <c r="F119" s="27">
        <f t="shared" si="2"/>
        <v>330000</v>
      </c>
    </row>
    <row r="120" spans="1:6" ht="30.75" customHeight="1">
      <c r="A120" s="72"/>
      <c r="B120" s="77"/>
      <c r="C120" s="1" t="s">
        <v>701</v>
      </c>
      <c r="D120" s="2">
        <v>250000</v>
      </c>
      <c r="E120" s="5"/>
      <c r="F120" s="27">
        <f t="shared" si="2"/>
        <v>250000</v>
      </c>
    </row>
    <row r="121" spans="1:6" ht="46.5">
      <c r="A121" s="72"/>
      <c r="B121" s="77"/>
      <c r="C121" s="1" t="s">
        <v>755</v>
      </c>
      <c r="D121" s="2">
        <v>150000</v>
      </c>
      <c r="E121" s="5"/>
      <c r="F121" s="27">
        <f t="shared" si="2"/>
        <v>150000</v>
      </c>
    </row>
    <row r="122" spans="1:6" ht="15">
      <c r="A122" s="72"/>
      <c r="B122" s="77"/>
      <c r="C122" s="6" t="s">
        <v>373</v>
      </c>
      <c r="D122" s="2">
        <v>578000</v>
      </c>
      <c r="E122" s="5">
        <f>4008+565976</f>
        <v>569984</v>
      </c>
      <c r="F122" s="27">
        <f t="shared" si="2"/>
        <v>8016</v>
      </c>
    </row>
    <row r="123" spans="1:6" ht="15">
      <c r="A123" s="72"/>
      <c r="B123" s="77"/>
      <c r="C123" s="1" t="s">
        <v>345</v>
      </c>
      <c r="D123" s="2">
        <v>100000</v>
      </c>
      <c r="E123" s="5"/>
      <c r="F123" s="27">
        <f t="shared" si="2"/>
        <v>100000</v>
      </c>
    </row>
    <row r="124" spans="1:6" ht="46.5">
      <c r="A124" s="72"/>
      <c r="B124" s="77"/>
      <c r="C124" s="1" t="s">
        <v>704</v>
      </c>
      <c r="D124" s="2">
        <v>330000</v>
      </c>
      <c r="E124" s="5"/>
      <c r="F124" s="27">
        <f t="shared" si="2"/>
        <v>330000</v>
      </c>
    </row>
    <row r="125" spans="1:6" ht="15">
      <c r="A125" s="72"/>
      <c r="B125" s="77"/>
      <c r="C125" s="1" t="s">
        <v>344</v>
      </c>
      <c r="D125" s="2">
        <f>1450000-250000</f>
        <v>1200000</v>
      </c>
      <c r="E125" s="5">
        <f>569784.5+38604+8503.16</f>
        <v>616891.66</v>
      </c>
      <c r="F125" s="27">
        <f t="shared" si="2"/>
        <v>583108.34</v>
      </c>
    </row>
    <row r="126" spans="1:6" ht="15">
      <c r="A126" s="72"/>
      <c r="B126" s="77"/>
      <c r="C126" s="6" t="s">
        <v>378</v>
      </c>
      <c r="D126" s="2">
        <v>659164.2</v>
      </c>
      <c r="E126" s="5">
        <f>392221.2+100006.12</f>
        <v>492227.32</v>
      </c>
      <c r="F126" s="27">
        <f t="shared" si="2"/>
        <v>166936.87999999995</v>
      </c>
    </row>
    <row r="127" spans="1:6" ht="62.25">
      <c r="A127" s="72"/>
      <c r="B127" s="77"/>
      <c r="C127" s="6" t="s">
        <v>379</v>
      </c>
      <c r="D127" s="2">
        <f>123656.8+237575.2</f>
        <v>361232</v>
      </c>
      <c r="E127" s="5">
        <f>333801.6+24337.89</f>
        <v>358139.49</v>
      </c>
      <c r="F127" s="27">
        <f t="shared" si="2"/>
        <v>3092.5100000000093</v>
      </c>
    </row>
    <row r="128" spans="1:6" ht="46.5">
      <c r="A128" s="72"/>
      <c r="B128" s="77"/>
      <c r="C128" s="1" t="s">
        <v>346</v>
      </c>
      <c r="D128" s="2">
        <f>1150000-1145000</f>
        <v>5000</v>
      </c>
      <c r="E128" s="5">
        <f>5000</f>
        <v>5000</v>
      </c>
      <c r="F128" s="27">
        <f t="shared" si="2"/>
        <v>0</v>
      </c>
    </row>
    <row r="129" spans="1:6" ht="48" customHeight="1">
      <c r="A129" s="72"/>
      <c r="B129" s="77"/>
      <c r="C129" s="1" t="s">
        <v>706</v>
      </c>
      <c r="D129" s="2">
        <v>300000</v>
      </c>
      <c r="E129" s="5"/>
      <c r="F129" s="27">
        <f t="shared" si="2"/>
        <v>300000</v>
      </c>
    </row>
    <row r="130" spans="1:6" ht="17.25" customHeight="1">
      <c r="A130" s="72"/>
      <c r="B130" s="77"/>
      <c r="C130" s="1" t="s">
        <v>353</v>
      </c>
      <c r="D130" s="2">
        <f>1500000-500000+400000+63000</f>
        <v>1463000</v>
      </c>
      <c r="E130" s="5">
        <f>500000+21060.62+11368+867570</f>
        <v>1399998.62</v>
      </c>
      <c r="F130" s="27">
        <f t="shared" si="2"/>
        <v>63001.37999999989</v>
      </c>
    </row>
    <row r="131" spans="1:6" ht="15">
      <c r="A131" s="72"/>
      <c r="B131" s="77"/>
      <c r="C131" s="1" t="s">
        <v>354</v>
      </c>
      <c r="D131" s="2">
        <v>150000</v>
      </c>
      <c r="E131" s="5">
        <f>73293</f>
        <v>73293</v>
      </c>
      <c r="F131" s="27">
        <f t="shared" si="2"/>
        <v>76707</v>
      </c>
    </row>
    <row r="132" spans="1:6" ht="15">
      <c r="A132" s="72"/>
      <c r="B132" s="77"/>
      <c r="C132" s="1" t="s">
        <v>362</v>
      </c>
      <c r="D132" s="2">
        <v>671072</v>
      </c>
      <c r="E132" s="5">
        <v>671072</v>
      </c>
      <c r="F132" s="27">
        <f t="shared" si="2"/>
        <v>0</v>
      </c>
    </row>
    <row r="133" spans="1:6" ht="15">
      <c r="A133" s="72"/>
      <c r="B133" s="77"/>
      <c r="C133" s="1" t="s">
        <v>495</v>
      </c>
      <c r="D133" s="2">
        <v>500000</v>
      </c>
      <c r="E133" s="5">
        <f>4008+244764</f>
        <v>248772</v>
      </c>
      <c r="F133" s="27">
        <f t="shared" si="2"/>
        <v>251228</v>
      </c>
    </row>
    <row r="134" spans="1:6" ht="81.75" customHeight="1" hidden="1">
      <c r="A134" s="72"/>
      <c r="B134" s="77"/>
      <c r="C134" s="1" t="s">
        <v>355</v>
      </c>
      <c r="D134" s="2">
        <f>250000-250000</f>
        <v>0</v>
      </c>
      <c r="E134" s="5"/>
      <c r="F134" s="27">
        <f t="shared" si="2"/>
        <v>0</v>
      </c>
    </row>
    <row r="135" spans="1:6" ht="15">
      <c r="A135" s="72"/>
      <c r="B135" s="77"/>
      <c r="C135" s="1" t="s">
        <v>341</v>
      </c>
      <c r="D135" s="2">
        <v>1390000</v>
      </c>
      <c r="E135" s="5">
        <f>600000+71910+7289.32</f>
        <v>679199.32</v>
      </c>
      <c r="F135" s="27">
        <f t="shared" si="2"/>
        <v>710800.68</v>
      </c>
    </row>
    <row r="136" spans="1:6" ht="46.5">
      <c r="A136" s="72"/>
      <c r="B136" s="77"/>
      <c r="C136" s="1" t="s">
        <v>707</v>
      </c>
      <c r="D136" s="2">
        <v>330000</v>
      </c>
      <c r="E136" s="5"/>
      <c r="F136" s="27">
        <f t="shared" si="2"/>
        <v>330000</v>
      </c>
    </row>
    <row r="137" spans="1:6" ht="30" customHeight="1">
      <c r="A137" s="72"/>
      <c r="B137" s="77"/>
      <c r="C137" s="6" t="s">
        <v>374</v>
      </c>
      <c r="D137" s="2">
        <f>361627.79+250000</f>
        <v>611627.79</v>
      </c>
      <c r="E137" s="5">
        <f>93490.44+430297.15</f>
        <v>523787.59</v>
      </c>
      <c r="F137" s="27">
        <f t="shared" si="2"/>
        <v>87840.20000000001</v>
      </c>
    </row>
    <row r="138" spans="1:6" ht="15">
      <c r="A138" s="72"/>
      <c r="B138" s="77"/>
      <c r="C138" s="1" t="s">
        <v>494</v>
      </c>
      <c r="D138" s="2">
        <v>500000</v>
      </c>
      <c r="E138" s="5">
        <f>4008+244872</f>
        <v>248880</v>
      </c>
      <c r="F138" s="27">
        <f t="shared" si="2"/>
        <v>251120</v>
      </c>
    </row>
    <row r="139" spans="1:6" ht="15">
      <c r="A139" s="72"/>
      <c r="B139" s="77"/>
      <c r="C139" s="1" t="s">
        <v>342</v>
      </c>
      <c r="D139" s="2">
        <f>1390001-1380000</f>
        <v>10001</v>
      </c>
      <c r="E139" s="5"/>
      <c r="F139" s="27">
        <f t="shared" si="2"/>
        <v>10001</v>
      </c>
    </row>
    <row r="140" spans="1:6" ht="30.75">
      <c r="A140" s="72"/>
      <c r="B140" s="77"/>
      <c r="C140" s="1" t="s">
        <v>711</v>
      </c>
      <c r="D140" s="2">
        <v>64110.53</v>
      </c>
      <c r="E140" s="5">
        <f>64110.53</f>
        <v>64110.53</v>
      </c>
      <c r="F140" s="27">
        <f t="shared" si="2"/>
        <v>0</v>
      </c>
    </row>
    <row r="141" spans="1:6" ht="15">
      <c r="A141" s="72"/>
      <c r="B141" s="77"/>
      <c r="C141" s="1" t="s">
        <v>358</v>
      </c>
      <c r="D141" s="2">
        <v>414559.6</v>
      </c>
      <c r="E141" s="5">
        <v>414559.6</v>
      </c>
      <c r="F141" s="27">
        <f t="shared" si="2"/>
        <v>0</v>
      </c>
    </row>
    <row r="142" spans="1:6" ht="15">
      <c r="A142" s="72"/>
      <c r="B142" s="77"/>
      <c r="C142" s="1" t="s">
        <v>352</v>
      </c>
      <c r="D142" s="2">
        <f>700000+220000-900000</f>
        <v>20000</v>
      </c>
      <c r="E142" s="5"/>
      <c r="F142" s="27">
        <f aca="true" t="shared" si="3" ref="F142:F192">D142-E142</f>
        <v>20000</v>
      </c>
    </row>
    <row r="143" spans="1:6" ht="15">
      <c r="A143" s="72"/>
      <c r="B143" s="77"/>
      <c r="C143" s="20" t="s">
        <v>356</v>
      </c>
      <c r="D143" s="2">
        <v>893000</v>
      </c>
      <c r="E143" s="5">
        <f>723549.6+115633.21+27492+13980.92</f>
        <v>880655.73</v>
      </c>
      <c r="F143" s="27">
        <f t="shared" si="3"/>
        <v>12344.270000000019</v>
      </c>
    </row>
    <row r="144" spans="1:6" ht="15">
      <c r="A144" s="72"/>
      <c r="B144" s="77"/>
      <c r="C144" s="20" t="s">
        <v>337</v>
      </c>
      <c r="D144" s="2">
        <f>350000+300000</f>
        <v>650000</v>
      </c>
      <c r="E144" s="5">
        <f>175496+171458+2129.23+296014</f>
        <v>645097.23</v>
      </c>
      <c r="F144" s="27">
        <f t="shared" si="3"/>
        <v>4902.770000000019</v>
      </c>
    </row>
    <row r="145" spans="1:6" ht="15">
      <c r="A145" s="72"/>
      <c r="B145" s="77"/>
      <c r="C145" s="20" t="s">
        <v>338</v>
      </c>
      <c r="D145" s="2">
        <v>250000</v>
      </c>
      <c r="E145" s="5">
        <f>125934.5+121926.5</f>
        <v>247861</v>
      </c>
      <c r="F145" s="27">
        <f t="shared" si="3"/>
        <v>2139</v>
      </c>
    </row>
    <row r="146" spans="1:6" ht="15">
      <c r="A146" s="72"/>
      <c r="B146" s="77"/>
      <c r="C146" s="1" t="s">
        <v>363</v>
      </c>
      <c r="D146" s="2">
        <f>643975+50000</f>
        <v>693975</v>
      </c>
      <c r="E146" s="5">
        <f>643975+45976</f>
        <v>689951</v>
      </c>
      <c r="F146" s="27">
        <f t="shared" si="3"/>
        <v>4024</v>
      </c>
    </row>
    <row r="147" spans="1:6" ht="15">
      <c r="A147" s="72"/>
      <c r="B147" s="77"/>
      <c r="C147" s="6" t="s">
        <v>375</v>
      </c>
      <c r="D147" s="2">
        <v>356573</v>
      </c>
      <c r="E147" s="5">
        <v>3240</v>
      </c>
      <c r="F147" s="27">
        <f t="shared" si="3"/>
        <v>353333</v>
      </c>
    </row>
    <row r="148" spans="1:6" ht="15">
      <c r="A148" s="72"/>
      <c r="B148" s="77"/>
      <c r="C148" s="1" t="s">
        <v>493</v>
      </c>
      <c r="D148" s="2">
        <v>1250000</v>
      </c>
      <c r="E148" s="5">
        <f>87825+1036364.83</f>
        <v>1124189.83</v>
      </c>
      <c r="F148" s="27">
        <f t="shared" si="3"/>
        <v>125810.16999999993</v>
      </c>
    </row>
    <row r="149" spans="1:6" ht="15">
      <c r="A149" s="72"/>
      <c r="B149" s="77"/>
      <c r="C149" s="1" t="s">
        <v>709</v>
      </c>
      <c r="D149" s="2">
        <v>179649.6</v>
      </c>
      <c r="E149" s="5">
        <f>179649.6</f>
        <v>179649.6</v>
      </c>
      <c r="F149" s="27">
        <f t="shared" si="3"/>
        <v>0</v>
      </c>
    </row>
    <row r="150" spans="1:6" ht="30.75">
      <c r="A150" s="72"/>
      <c r="B150" s="77"/>
      <c r="C150" s="1" t="s">
        <v>710</v>
      </c>
      <c r="D150" s="2">
        <v>82878.95</v>
      </c>
      <c r="E150" s="5">
        <f>82878.95</f>
        <v>82878.95</v>
      </c>
      <c r="F150" s="27">
        <f t="shared" si="3"/>
        <v>0</v>
      </c>
    </row>
    <row r="151" spans="1:6" ht="30.75">
      <c r="A151" s="72"/>
      <c r="B151" s="77"/>
      <c r="C151" s="1" t="s">
        <v>406</v>
      </c>
      <c r="D151" s="2">
        <v>600000</v>
      </c>
      <c r="E151" s="5">
        <f>223568+9067.6+2191.96+1047.06+152475</f>
        <v>388349.62</v>
      </c>
      <c r="F151" s="27">
        <f t="shared" si="3"/>
        <v>211650.38</v>
      </c>
    </row>
    <row r="152" spans="1:6" ht="15">
      <c r="A152" s="72"/>
      <c r="B152" s="77"/>
      <c r="C152" s="1" t="s">
        <v>347</v>
      </c>
      <c r="D152" s="2">
        <v>1400000</v>
      </c>
      <c r="E152" s="5">
        <f>660597.77+6923.97</f>
        <v>667521.74</v>
      </c>
      <c r="F152" s="27">
        <f t="shared" si="3"/>
        <v>732478.26</v>
      </c>
    </row>
    <row r="153" spans="1:6" ht="15">
      <c r="A153" s="72"/>
      <c r="B153" s="77"/>
      <c r="C153" s="1" t="s">
        <v>757</v>
      </c>
      <c r="D153" s="2">
        <v>166840</v>
      </c>
      <c r="E153" s="5"/>
      <c r="F153" s="27">
        <f t="shared" si="3"/>
        <v>166840</v>
      </c>
    </row>
    <row r="154" spans="1:6" ht="15">
      <c r="A154" s="72"/>
      <c r="B154" s="77"/>
      <c r="C154" s="1" t="s">
        <v>348</v>
      </c>
      <c r="D154" s="2">
        <v>400000</v>
      </c>
      <c r="E154" s="5">
        <f>34740+179527.5</f>
        <v>214267.5</v>
      </c>
      <c r="F154" s="27">
        <f t="shared" si="3"/>
        <v>185732.5</v>
      </c>
    </row>
    <row r="155" spans="1:6" ht="30.75">
      <c r="A155" s="72"/>
      <c r="B155" s="77"/>
      <c r="C155" s="1" t="s">
        <v>350</v>
      </c>
      <c r="D155" s="2">
        <v>500000</v>
      </c>
      <c r="E155" s="5">
        <f>489102.34</f>
        <v>489102.34</v>
      </c>
      <c r="F155" s="27">
        <f t="shared" si="3"/>
        <v>10897.659999999974</v>
      </c>
    </row>
    <row r="156" spans="1:6" ht="15">
      <c r="A156" s="72"/>
      <c r="B156" s="77"/>
      <c r="C156" s="1" t="s">
        <v>364</v>
      </c>
      <c r="D156" s="2">
        <f>198285.04+166840-166840</f>
        <v>198285.04000000004</v>
      </c>
      <c r="E156" s="5">
        <v>155124.92</v>
      </c>
      <c r="F156" s="27">
        <f t="shared" si="3"/>
        <v>43160.120000000024</v>
      </c>
    </row>
    <row r="157" spans="1:6" ht="30.75">
      <c r="A157" s="72"/>
      <c r="B157" s="77"/>
      <c r="C157" s="1" t="s">
        <v>661</v>
      </c>
      <c r="D157" s="2">
        <f>580000-85121</f>
        <v>494879</v>
      </c>
      <c r="E157" s="5">
        <f>494879</f>
        <v>494879</v>
      </c>
      <c r="F157" s="27">
        <f t="shared" si="3"/>
        <v>0</v>
      </c>
    </row>
    <row r="158" spans="1:6" ht="30.75">
      <c r="A158" s="72"/>
      <c r="B158" s="77"/>
      <c r="C158" s="1" t="s">
        <v>702</v>
      </c>
      <c r="D158" s="2">
        <v>295000</v>
      </c>
      <c r="E158" s="5"/>
      <c r="F158" s="27">
        <f t="shared" si="3"/>
        <v>295000</v>
      </c>
    </row>
    <row r="159" spans="1:6" ht="15">
      <c r="A159" s="72"/>
      <c r="B159" s="77"/>
      <c r="C159" s="1" t="s">
        <v>590</v>
      </c>
      <c r="D159" s="2">
        <f>41709.9</f>
        <v>41709.9</v>
      </c>
      <c r="E159" s="5">
        <v>41709.9</v>
      </c>
      <c r="F159" s="27">
        <f t="shared" si="3"/>
        <v>0</v>
      </c>
    </row>
    <row r="160" spans="1:6" ht="15">
      <c r="A160" s="72"/>
      <c r="B160" s="77"/>
      <c r="C160" s="1" t="s">
        <v>390</v>
      </c>
      <c r="D160" s="2">
        <f>500000+90000</f>
        <v>590000</v>
      </c>
      <c r="E160" s="5">
        <f>576682</f>
        <v>576682</v>
      </c>
      <c r="F160" s="27">
        <f t="shared" si="3"/>
        <v>13318</v>
      </c>
    </row>
    <row r="161" spans="1:6" ht="15">
      <c r="A161" s="72"/>
      <c r="B161" s="77"/>
      <c r="C161" s="1" t="s">
        <v>394</v>
      </c>
      <c r="D161" s="2">
        <v>800000</v>
      </c>
      <c r="E161" s="5">
        <f>370709.4</f>
        <v>370709.4</v>
      </c>
      <c r="F161" s="27">
        <f t="shared" si="3"/>
        <v>429290.6</v>
      </c>
    </row>
    <row r="162" spans="1:6" ht="30.75">
      <c r="A162" s="72"/>
      <c r="B162" s="77"/>
      <c r="C162" s="1" t="s">
        <v>522</v>
      </c>
      <c r="D162" s="2">
        <f>402000+110000</f>
        <v>512000</v>
      </c>
      <c r="E162" s="5">
        <f>509430.3</f>
        <v>509430.3</v>
      </c>
      <c r="F162" s="27">
        <f t="shared" si="3"/>
        <v>2569.7000000000116</v>
      </c>
    </row>
    <row r="163" spans="1:6" ht="15">
      <c r="A163" s="72"/>
      <c r="B163" s="77"/>
      <c r="C163" s="1" t="s">
        <v>395</v>
      </c>
      <c r="D163" s="2">
        <v>22229.58</v>
      </c>
      <c r="E163" s="5"/>
      <c r="F163" s="27">
        <f t="shared" si="3"/>
        <v>22229.58</v>
      </c>
    </row>
    <row r="164" spans="1:6" ht="46.5" customHeight="1">
      <c r="A164" s="72"/>
      <c r="B164" s="77"/>
      <c r="C164" s="1" t="s">
        <v>531</v>
      </c>
      <c r="D164" s="2">
        <f>250000+120000</f>
        <v>370000</v>
      </c>
      <c r="E164" s="5"/>
      <c r="F164" s="27">
        <f t="shared" si="3"/>
        <v>370000</v>
      </c>
    </row>
    <row r="165" spans="1:6" ht="30.75" customHeight="1">
      <c r="A165" s="72"/>
      <c r="B165" s="77"/>
      <c r="C165" s="1" t="s">
        <v>386</v>
      </c>
      <c r="D165" s="2">
        <v>524113.34</v>
      </c>
      <c r="E165" s="5"/>
      <c r="F165" s="27">
        <f t="shared" si="3"/>
        <v>524113.34</v>
      </c>
    </row>
    <row r="166" spans="1:6" ht="30.75" customHeight="1">
      <c r="A166" s="72"/>
      <c r="B166" s="77"/>
      <c r="C166" s="1" t="s">
        <v>387</v>
      </c>
      <c r="D166" s="2">
        <v>11095</v>
      </c>
      <c r="E166" s="5">
        <v>11095</v>
      </c>
      <c r="F166" s="27">
        <f t="shared" si="3"/>
        <v>0</v>
      </c>
    </row>
    <row r="167" spans="1:6" ht="30.75" customHeight="1">
      <c r="A167" s="72"/>
      <c r="B167" s="77"/>
      <c r="C167" s="1" t="s">
        <v>388</v>
      </c>
      <c r="D167" s="2">
        <v>9678</v>
      </c>
      <c r="E167" s="5">
        <v>9678</v>
      </c>
      <c r="F167" s="27">
        <f t="shared" si="3"/>
        <v>0</v>
      </c>
    </row>
    <row r="168" spans="1:6" ht="30.75" customHeight="1">
      <c r="A168" s="72"/>
      <c r="B168" s="77"/>
      <c r="C168" s="1" t="s">
        <v>389</v>
      </c>
      <c r="D168" s="2">
        <v>160530</v>
      </c>
      <c r="E168" s="5">
        <v>9678</v>
      </c>
      <c r="F168" s="27">
        <f t="shared" si="3"/>
        <v>150852</v>
      </c>
    </row>
    <row r="169" spans="1:6" ht="30.75">
      <c r="A169" s="72"/>
      <c r="B169" s="77"/>
      <c r="C169" s="6" t="s">
        <v>399</v>
      </c>
      <c r="D169" s="2">
        <v>600000</v>
      </c>
      <c r="E169" s="5">
        <f>597777.26+1045.41</f>
        <v>598822.67</v>
      </c>
      <c r="F169" s="27">
        <f t="shared" si="3"/>
        <v>1177.329999999958</v>
      </c>
    </row>
    <row r="170" spans="1:6" ht="30.75">
      <c r="A170" s="72"/>
      <c r="B170" s="77"/>
      <c r="C170" s="6" t="s">
        <v>400</v>
      </c>
      <c r="D170" s="2">
        <v>200000</v>
      </c>
      <c r="E170" s="5">
        <f>96989.8</f>
        <v>96989.8</v>
      </c>
      <c r="F170" s="27">
        <f t="shared" si="3"/>
        <v>103010.2</v>
      </c>
    </row>
    <row r="171" spans="1:6" ht="15">
      <c r="A171" s="72"/>
      <c r="B171" s="77"/>
      <c r="C171" s="1" t="s">
        <v>393</v>
      </c>
      <c r="D171" s="2">
        <f>40000-40000+76756</f>
        <v>76756</v>
      </c>
      <c r="E171" s="5">
        <v>74601</v>
      </c>
      <c r="F171" s="27">
        <f t="shared" si="3"/>
        <v>2155</v>
      </c>
    </row>
    <row r="172" spans="1:6" ht="15">
      <c r="A172" s="72"/>
      <c r="B172" s="77"/>
      <c r="C172" s="1" t="s">
        <v>383</v>
      </c>
      <c r="D172" s="2">
        <f>1500000-1000000</f>
        <v>500000</v>
      </c>
      <c r="E172" s="5"/>
      <c r="F172" s="27">
        <f t="shared" si="3"/>
        <v>500000</v>
      </c>
    </row>
    <row r="173" spans="1:6" ht="15">
      <c r="A173" s="72"/>
      <c r="B173" s="77"/>
      <c r="C173" s="6" t="s">
        <v>403</v>
      </c>
      <c r="D173" s="2">
        <v>13957.08</v>
      </c>
      <c r="E173" s="5"/>
      <c r="F173" s="27">
        <f t="shared" si="3"/>
        <v>13957.08</v>
      </c>
    </row>
    <row r="174" spans="1:6" ht="30.75" customHeight="1">
      <c r="A174" s="72"/>
      <c r="B174" s="77"/>
      <c r="C174" s="1" t="s">
        <v>385</v>
      </c>
      <c r="D174" s="2">
        <v>1700000</v>
      </c>
      <c r="E174" s="5">
        <f>811482.2+71910</f>
        <v>883392.2</v>
      </c>
      <c r="F174" s="27">
        <f t="shared" si="3"/>
        <v>816607.8</v>
      </c>
    </row>
    <row r="175" spans="1:6" ht="15">
      <c r="A175" s="72"/>
      <c r="B175" s="77"/>
      <c r="C175" s="1" t="s">
        <v>392</v>
      </c>
      <c r="D175" s="2">
        <v>696002</v>
      </c>
      <c r="E175" s="5">
        <f>637877.93+58124</f>
        <v>696001.93</v>
      </c>
      <c r="F175" s="27">
        <f t="shared" si="3"/>
        <v>0.06999999994877726</v>
      </c>
    </row>
    <row r="176" spans="1:6" ht="15">
      <c r="A176" s="72"/>
      <c r="B176" s="77"/>
      <c r="C176" s="1" t="s">
        <v>589</v>
      </c>
      <c r="D176" s="2">
        <f>200000</f>
        <v>200000</v>
      </c>
      <c r="E176" s="5">
        <f>195675.22</f>
        <v>195675.22</v>
      </c>
      <c r="F176" s="27">
        <f t="shared" si="3"/>
        <v>4324.779999999999</v>
      </c>
    </row>
    <row r="177" spans="1:6" ht="15">
      <c r="A177" s="72"/>
      <c r="B177" s="77"/>
      <c r="C177" s="1" t="s">
        <v>496</v>
      </c>
      <c r="D177" s="2">
        <v>500000</v>
      </c>
      <c r="E177" s="5"/>
      <c r="F177" s="27">
        <f t="shared" si="3"/>
        <v>500000</v>
      </c>
    </row>
    <row r="178" spans="1:6" ht="15">
      <c r="A178" s="72"/>
      <c r="B178" s="77"/>
      <c r="C178" s="1" t="s">
        <v>391</v>
      </c>
      <c r="D178" s="2">
        <v>200000</v>
      </c>
      <c r="E178" s="5"/>
      <c r="F178" s="27">
        <f t="shared" si="3"/>
        <v>200000</v>
      </c>
    </row>
    <row r="179" spans="1:6" ht="30.75">
      <c r="A179" s="72"/>
      <c r="B179" s="77"/>
      <c r="C179" s="28" t="s">
        <v>712</v>
      </c>
      <c r="D179" s="2">
        <v>400000</v>
      </c>
      <c r="E179" s="5">
        <f>200000</f>
        <v>200000</v>
      </c>
      <c r="F179" s="27">
        <f t="shared" si="3"/>
        <v>200000</v>
      </c>
    </row>
    <row r="180" spans="1:6" ht="15">
      <c r="A180" s="72"/>
      <c r="B180" s="77"/>
      <c r="C180" s="28" t="s">
        <v>713</v>
      </c>
      <c r="D180" s="2">
        <v>58313</v>
      </c>
      <c r="E180" s="5">
        <f>58313</f>
        <v>58313</v>
      </c>
      <c r="F180" s="27">
        <f t="shared" si="3"/>
        <v>0</v>
      </c>
    </row>
    <row r="181" spans="1:6" ht="15">
      <c r="A181" s="72"/>
      <c r="B181" s="77"/>
      <c r="C181" s="28" t="s">
        <v>714</v>
      </c>
      <c r="D181" s="2">
        <v>83438</v>
      </c>
      <c r="E181" s="5">
        <f>83438</f>
        <v>83438</v>
      </c>
      <c r="F181" s="27">
        <f t="shared" si="3"/>
        <v>0</v>
      </c>
    </row>
    <row r="182" spans="1:6" ht="15">
      <c r="A182" s="72"/>
      <c r="B182" s="77"/>
      <c r="C182" s="1" t="s">
        <v>396</v>
      </c>
      <c r="D182" s="2">
        <v>200800</v>
      </c>
      <c r="E182" s="5">
        <f>135171</f>
        <v>135171</v>
      </c>
      <c r="F182" s="27">
        <f t="shared" si="3"/>
        <v>65629</v>
      </c>
    </row>
    <row r="183" spans="1:6" ht="46.5">
      <c r="A183" s="72"/>
      <c r="B183" s="77"/>
      <c r="C183" s="1" t="s">
        <v>397</v>
      </c>
      <c r="D183" s="2">
        <f>356753.05+100000</f>
        <v>456753.05</v>
      </c>
      <c r="E183" s="5">
        <f>171686.82</f>
        <v>171686.82</v>
      </c>
      <c r="F183" s="27">
        <f t="shared" si="3"/>
        <v>285066.23</v>
      </c>
    </row>
    <row r="184" spans="1:6" ht="15">
      <c r="A184" s="72"/>
      <c r="B184" s="77"/>
      <c r="C184" s="1" t="s">
        <v>398</v>
      </c>
      <c r="D184" s="2">
        <v>14240</v>
      </c>
      <c r="E184" s="5">
        <f>13819</f>
        <v>13819</v>
      </c>
      <c r="F184" s="27">
        <f t="shared" si="3"/>
        <v>421</v>
      </c>
    </row>
    <row r="185" spans="1:6" ht="30.75">
      <c r="A185" s="72"/>
      <c r="B185" s="77"/>
      <c r="C185" s="1" t="s">
        <v>523</v>
      </c>
      <c r="D185" s="2">
        <v>402000</v>
      </c>
      <c r="E185" s="5">
        <f>401640</f>
        <v>401640</v>
      </c>
      <c r="F185" s="27">
        <f t="shared" si="3"/>
        <v>360</v>
      </c>
    </row>
    <row r="186" spans="1:6" ht="46.5" customHeight="1">
      <c r="A186" s="72"/>
      <c r="B186" s="77"/>
      <c r="C186" s="1" t="s">
        <v>532</v>
      </c>
      <c r="D186" s="5">
        <v>961100</v>
      </c>
      <c r="E186" s="5">
        <f>961098.57</f>
        <v>961098.57</v>
      </c>
      <c r="F186" s="27">
        <f t="shared" si="3"/>
        <v>1.4300000000512227</v>
      </c>
    </row>
    <row r="187" spans="1:6" ht="30.75">
      <c r="A187" s="72"/>
      <c r="B187" s="77"/>
      <c r="C187" s="1" t="s">
        <v>533</v>
      </c>
      <c r="D187" s="2">
        <v>1290.1</v>
      </c>
      <c r="E187" s="5"/>
      <c r="F187" s="27">
        <f t="shared" si="3"/>
        <v>1290.1</v>
      </c>
    </row>
    <row r="188" spans="1:6" ht="30.75">
      <c r="A188" s="72"/>
      <c r="B188" s="77"/>
      <c r="C188" s="1" t="s">
        <v>381</v>
      </c>
      <c r="D188" s="2">
        <v>1200000</v>
      </c>
      <c r="E188" s="5">
        <f>543332.2+57000+559915.84</f>
        <v>1160248.04</v>
      </c>
      <c r="F188" s="27">
        <f t="shared" si="3"/>
        <v>39751.95999999996</v>
      </c>
    </row>
    <row r="189" spans="1:6" ht="15">
      <c r="A189" s="72"/>
      <c r="B189" s="77"/>
      <c r="C189" s="6" t="s">
        <v>401</v>
      </c>
      <c r="D189" s="2">
        <v>700000</v>
      </c>
      <c r="E189" s="5">
        <f>34610+322983.53</f>
        <v>357593.53</v>
      </c>
      <c r="F189" s="27">
        <f t="shared" si="3"/>
        <v>342406.47</v>
      </c>
    </row>
    <row r="190" spans="1:6" ht="15">
      <c r="A190" s="72"/>
      <c r="B190" s="77"/>
      <c r="C190" s="20" t="s">
        <v>498</v>
      </c>
      <c r="D190" s="2">
        <v>200000</v>
      </c>
      <c r="E190" s="5">
        <f>199216</f>
        <v>199216</v>
      </c>
      <c r="F190" s="27">
        <f t="shared" si="3"/>
        <v>784</v>
      </c>
    </row>
    <row r="191" spans="1:6" ht="27" customHeight="1">
      <c r="A191" s="72"/>
      <c r="B191" s="77"/>
      <c r="C191" s="1" t="s">
        <v>518</v>
      </c>
      <c r="D191" s="2">
        <v>1490000</v>
      </c>
      <c r="E191" s="5">
        <f>646346.81+124920+459403.55</f>
        <v>1230670.36</v>
      </c>
      <c r="F191" s="27">
        <f t="shared" si="3"/>
        <v>259329.6399999999</v>
      </c>
    </row>
    <row r="192" spans="1:6" ht="15">
      <c r="A192" s="72"/>
      <c r="B192" s="77"/>
      <c r="C192" s="20" t="s">
        <v>404</v>
      </c>
      <c r="D192" s="2">
        <f>7128000-210000</f>
        <v>6918000</v>
      </c>
      <c r="E192" s="5">
        <f>78597.11+1875000</f>
        <v>1953597.11</v>
      </c>
      <c r="F192" s="27">
        <f t="shared" si="3"/>
        <v>4964402.89</v>
      </c>
    </row>
    <row r="193" spans="1:6" ht="15">
      <c r="A193" s="72"/>
      <c r="B193" s="77"/>
      <c r="C193" s="1" t="s">
        <v>497</v>
      </c>
      <c r="D193" s="2">
        <v>147639.02</v>
      </c>
      <c r="E193" s="5">
        <v>123722</v>
      </c>
      <c r="F193" s="27">
        <f aca="true" t="shared" si="4" ref="F193:F247">D193-E193</f>
        <v>23917.01999999999</v>
      </c>
    </row>
    <row r="194" spans="1:6" ht="30.75">
      <c r="A194" s="72"/>
      <c r="B194" s="77"/>
      <c r="C194" s="1" t="s">
        <v>505</v>
      </c>
      <c r="D194" s="2">
        <v>1490000</v>
      </c>
      <c r="E194" s="5">
        <f>760075.48+448187.53</f>
        <v>1208263.01</v>
      </c>
      <c r="F194" s="27">
        <f t="shared" si="4"/>
        <v>281736.99</v>
      </c>
    </row>
    <row r="195" spans="1:6" ht="15">
      <c r="A195" s="72"/>
      <c r="B195" s="77"/>
      <c r="C195" s="1" t="s">
        <v>384</v>
      </c>
      <c r="D195" s="2">
        <v>1490000</v>
      </c>
      <c r="E195" s="5">
        <f>638350.5+94967+653943</f>
        <v>1387260.5</v>
      </c>
      <c r="F195" s="27">
        <f t="shared" si="4"/>
        <v>102739.5</v>
      </c>
    </row>
    <row r="196" spans="1:6" ht="30.75">
      <c r="A196" s="72"/>
      <c r="B196" s="77"/>
      <c r="C196" s="1" t="s">
        <v>382</v>
      </c>
      <c r="D196" s="2">
        <f>3000000-2500000</f>
        <v>500000</v>
      </c>
      <c r="E196" s="5">
        <f>200000</f>
        <v>200000</v>
      </c>
      <c r="F196" s="27">
        <f t="shared" si="4"/>
        <v>300000</v>
      </c>
    </row>
    <row r="197" spans="1:6" ht="46.5">
      <c r="A197" s="72"/>
      <c r="B197" s="77"/>
      <c r="C197" s="6" t="s">
        <v>402</v>
      </c>
      <c r="D197" s="2">
        <v>800000</v>
      </c>
      <c r="E197" s="5">
        <f>49914+341000+278340.16+124065.84</f>
        <v>793319.9999999999</v>
      </c>
      <c r="F197" s="27">
        <f t="shared" si="4"/>
        <v>6680.000000000116</v>
      </c>
    </row>
    <row r="198" spans="1:6" ht="30.75">
      <c r="A198" s="72"/>
      <c r="B198" s="77"/>
      <c r="C198" s="1" t="s">
        <v>410</v>
      </c>
      <c r="D198" s="2">
        <v>47393</v>
      </c>
      <c r="E198" s="5">
        <f>8100</f>
        <v>8100</v>
      </c>
      <c r="F198" s="27">
        <f t="shared" si="4"/>
        <v>39293</v>
      </c>
    </row>
    <row r="199" spans="1:6" ht="30.75">
      <c r="A199" s="72"/>
      <c r="B199" s="77"/>
      <c r="C199" s="21" t="s">
        <v>408</v>
      </c>
      <c r="D199" s="5">
        <v>176000</v>
      </c>
      <c r="E199" s="5"/>
      <c r="F199" s="27">
        <f t="shared" si="4"/>
        <v>176000</v>
      </c>
    </row>
    <row r="200" spans="1:6" ht="15">
      <c r="A200" s="72"/>
      <c r="B200" s="77"/>
      <c r="C200" s="21" t="s">
        <v>587</v>
      </c>
      <c r="D200" s="5">
        <f>935000</f>
        <v>935000</v>
      </c>
      <c r="E200" s="5"/>
      <c r="F200" s="27">
        <f t="shared" si="4"/>
        <v>935000</v>
      </c>
    </row>
    <row r="201" spans="1:6" ht="46.5">
      <c r="A201" s="72"/>
      <c r="B201" s="77"/>
      <c r="C201" s="1" t="s">
        <v>499</v>
      </c>
      <c r="D201" s="22">
        <v>645800</v>
      </c>
      <c r="E201" s="5">
        <f>645779</f>
        <v>645779</v>
      </c>
      <c r="F201" s="27">
        <f t="shared" si="4"/>
        <v>21</v>
      </c>
    </row>
    <row r="202" spans="1:6" ht="46.5">
      <c r="A202" s="72"/>
      <c r="B202" s="77"/>
      <c r="C202" s="1" t="s">
        <v>409</v>
      </c>
      <c r="D202" s="22">
        <v>1482650</v>
      </c>
      <c r="E202" s="5">
        <f>600423.8+327971.28+548390.92+5684</f>
        <v>1482470</v>
      </c>
      <c r="F202" s="27">
        <f t="shared" si="4"/>
        <v>180</v>
      </c>
    </row>
    <row r="203" spans="1:6" ht="30.75">
      <c r="A203" s="72"/>
      <c r="B203" s="77"/>
      <c r="C203" s="6" t="s">
        <v>411</v>
      </c>
      <c r="D203" s="2">
        <v>1300000</v>
      </c>
      <c r="E203" s="5">
        <f>215398.8+142326+419871.6+8526.32+281734.8+227143.8</f>
        <v>1295001.3199999998</v>
      </c>
      <c r="F203" s="27">
        <f t="shared" si="4"/>
        <v>4998.680000000168</v>
      </c>
    </row>
    <row r="204" spans="1:6" ht="30.75">
      <c r="A204" s="72"/>
      <c r="B204" s="77"/>
      <c r="C204" s="6" t="s">
        <v>588</v>
      </c>
      <c r="D204" s="2">
        <f>30000</f>
        <v>30000</v>
      </c>
      <c r="E204" s="5">
        <f>27989.74</f>
        <v>27989.74</v>
      </c>
      <c r="F204" s="27">
        <f t="shared" si="4"/>
        <v>2010.2599999999984</v>
      </c>
    </row>
    <row r="205" spans="1:6" ht="30.75">
      <c r="A205" s="72"/>
      <c r="B205" s="77"/>
      <c r="C205" s="6" t="s">
        <v>413</v>
      </c>
      <c r="D205" s="2">
        <f>300000+635000</f>
        <v>935000</v>
      </c>
      <c r="E205" s="5">
        <f>299998+9991.5</f>
        <v>309989.5</v>
      </c>
      <c r="F205" s="27">
        <f t="shared" si="4"/>
        <v>625010.5</v>
      </c>
    </row>
    <row r="206" spans="1:6" ht="30.75">
      <c r="A206" s="72"/>
      <c r="B206" s="77"/>
      <c r="C206" s="6" t="s">
        <v>414</v>
      </c>
      <c r="D206" s="2">
        <v>54196</v>
      </c>
      <c r="E206" s="5"/>
      <c r="F206" s="27">
        <f t="shared" si="4"/>
        <v>54196</v>
      </c>
    </row>
    <row r="207" spans="1:6" ht="30.75">
      <c r="A207" s="72"/>
      <c r="B207" s="77"/>
      <c r="C207" s="6" t="s">
        <v>415</v>
      </c>
      <c r="D207" s="2">
        <v>459178.4</v>
      </c>
      <c r="E207" s="5"/>
      <c r="F207" s="27">
        <f t="shared" si="4"/>
        <v>459178.4</v>
      </c>
    </row>
    <row r="208" spans="1:6" ht="30.75">
      <c r="A208" s="72"/>
      <c r="B208" s="77"/>
      <c r="C208" s="6" t="s">
        <v>416</v>
      </c>
      <c r="D208" s="2">
        <v>137648.6</v>
      </c>
      <c r="E208" s="5"/>
      <c r="F208" s="27">
        <f t="shared" si="4"/>
        <v>137648.6</v>
      </c>
    </row>
    <row r="209" spans="1:6" ht="30.75">
      <c r="A209" s="72"/>
      <c r="B209" s="77"/>
      <c r="C209" s="6" t="s">
        <v>417</v>
      </c>
      <c r="D209" s="2">
        <f>990000+215937</f>
        <v>1205937</v>
      </c>
      <c r="E209" s="5">
        <f>495000+17450.52+5400+462061.2</f>
        <v>979911.72</v>
      </c>
      <c r="F209" s="27">
        <f t="shared" si="4"/>
        <v>226025.28000000003</v>
      </c>
    </row>
    <row r="210" spans="1:6" ht="15">
      <c r="A210" s="72"/>
      <c r="B210" s="77"/>
      <c r="C210" s="6" t="s">
        <v>412</v>
      </c>
      <c r="D210" s="2">
        <f>1100000-1080000</f>
        <v>20000</v>
      </c>
      <c r="E210" s="5"/>
      <c r="F210" s="27">
        <f t="shared" si="4"/>
        <v>20000</v>
      </c>
    </row>
    <row r="211" spans="1:6" ht="46.5">
      <c r="A211" s="72"/>
      <c r="B211" s="77"/>
      <c r="C211" s="1" t="s">
        <v>328</v>
      </c>
      <c r="D211" s="2">
        <f>1160000-759982.8-160000</f>
        <v>240017.19999999995</v>
      </c>
      <c r="E211" s="5">
        <f>100000+41608.42</f>
        <v>141608.41999999998</v>
      </c>
      <c r="F211" s="27">
        <f t="shared" si="4"/>
        <v>98408.77999999997</v>
      </c>
    </row>
    <row r="212" spans="1:6" ht="15">
      <c r="A212" s="72"/>
      <c r="B212" s="77"/>
      <c r="C212" s="1" t="s">
        <v>524</v>
      </c>
      <c r="D212" s="2">
        <v>120000</v>
      </c>
      <c r="E212" s="5"/>
      <c r="F212" s="27">
        <f t="shared" si="4"/>
        <v>120000</v>
      </c>
    </row>
    <row r="213" spans="1:6" ht="15">
      <c r="A213" s="72"/>
      <c r="B213" s="77"/>
      <c r="C213" s="1" t="s">
        <v>645</v>
      </c>
      <c r="D213" s="2">
        <v>100000</v>
      </c>
      <c r="E213" s="5">
        <f>69533</f>
        <v>69533</v>
      </c>
      <c r="F213" s="27">
        <f t="shared" si="4"/>
        <v>30467</v>
      </c>
    </row>
    <row r="214" spans="1:6" ht="42" customHeight="1">
      <c r="A214" s="72"/>
      <c r="B214" s="77"/>
      <c r="C214" s="1" t="s">
        <v>326</v>
      </c>
      <c r="D214" s="2">
        <f>1500000+547307.6</f>
        <v>2047307.6</v>
      </c>
      <c r="E214" s="5">
        <f>677625+76453.2+117822.04+8526</f>
        <v>880426.24</v>
      </c>
      <c r="F214" s="27">
        <f t="shared" si="4"/>
        <v>1166881.36</v>
      </c>
    </row>
    <row r="215" spans="1:6" ht="15">
      <c r="A215" s="72"/>
      <c r="B215" s="77"/>
      <c r="C215" s="6" t="s">
        <v>334</v>
      </c>
      <c r="D215" s="2">
        <f>900000-100000</f>
        <v>800000</v>
      </c>
      <c r="E215" s="5">
        <f>549795.49+39864</f>
        <v>589659.49</v>
      </c>
      <c r="F215" s="27">
        <f t="shared" si="4"/>
        <v>210340.51</v>
      </c>
    </row>
    <row r="216" spans="1:6" ht="15">
      <c r="A216" s="72"/>
      <c r="B216" s="77"/>
      <c r="C216" s="6" t="s">
        <v>331</v>
      </c>
      <c r="D216" s="2">
        <v>17510</v>
      </c>
      <c r="E216" s="5"/>
      <c r="F216" s="27">
        <f t="shared" si="4"/>
        <v>17510</v>
      </c>
    </row>
    <row r="217" spans="1:6" ht="46.5">
      <c r="A217" s="72"/>
      <c r="B217" s="77"/>
      <c r="C217" s="1" t="s">
        <v>327</v>
      </c>
      <c r="D217" s="2">
        <f>1200000-1195000</f>
        <v>5000</v>
      </c>
      <c r="E217" s="5">
        <f>5000</f>
        <v>5000</v>
      </c>
      <c r="F217" s="27">
        <f t="shared" si="4"/>
        <v>0</v>
      </c>
    </row>
    <row r="218" spans="1:6" ht="46.5">
      <c r="A218" s="72"/>
      <c r="B218" s="77"/>
      <c r="C218" s="1" t="s">
        <v>716</v>
      </c>
      <c r="D218" s="2">
        <v>293600</v>
      </c>
      <c r="E218" s="5">
        <f>283624.8</f>
        <v>283624.8</v>
      </c>
      <c r="F218" s="27">
        <f t="shared" si="4"/>
        <v>9975.200000000012</v>
      </c>
    </row>
    <row r="219" spans="1:6" ht="15">
      <c r="A219" s="72"/>
      <c r="B219" s="77"/>
      <c r="C219" s="1" t="s">
        <v>584</v>
      </c>
      <c r="D219" s="2">
        <f>1500000-21000</f>
        <v>1479000</v>
      </c>
      <c r="E219" s="5">
        <f>691530+79646.91+638756</f>
        <v>1409932.9100000001</v>
      </c>
      <c r="F219" s="27">
        <f t="shared" si="4"/>
        <v>69067.08999999985</v>
      </c>
    </row>
    <row r="220" spans="1:6" ht="15">
      <c r="A220" s="72"/>
      <c r="B220" s="77"/>
      <c r="C220" s="1" t="s">
        <v>519</v>
      </c>
      <c r="D220" s="2">
        <f>1000000+250000</f>
        <v>1250000</v>
      </c>
      <c r="E220" s="5">
        <f>70771</f>
        <v>70771</v>
      </c>
      <c r="F220" s="27">
        <f t="shared" si="4"/>
        <v>1179229</v>
      </c>
    </row>
    <row r="221" spans="1:6" ht="15">
      <c r="A221" s="72"/>
      <c r="B221" s="77"/>
      <c r="C221" s="1" t="s">
        <v>715</v>
      </c>
      <c r="D221" s="2">
        <v>278001.5</v>
      </c>
      <c r="E221" s="5">
        <f>278001.5</f>
        <v>278001.5</v>
      </c>
      <c r="F221" s="27">
        <f t="shared" si="4"/>
        <v>0</v>
      </c>
    </row>
    <row r="222" spans="1:6" ht="15">
      <c r="A222" s="72"/>
      <c r="B222" s="77"/>
      <c r="C222" s="1" t="s">
        <v>329</v>
      </c>
      <c r="D222" s="2">
        <f>1500000-108000</f>
        <v>1392000</v>
      </c>
      <c r="E222" s="5">
        <f>655562.5+655562.5+14210.52</f>
        <v>1325335.52</v>
      </c>
      <c r="F222" s="27">
        <f t="shared" si="4"/>
        <v>66664.47999999998</v>
      </c>
    </row>
    <row r="223" spans="1:6" ht="30.75">
      <c r="A223" s="72"/>
      <c r="B223" s="77"/>
      <c r="C223" s="1" t="s">
        <v>517</v>
      </c>
      <c r="D223" s="2">
        <v>809160</v>
      </c>
      <c r="E223" s="5">
        <f>792253.83</f>
        <v>792253.83</v>
      </c>
      <c r="F223" s="27">
        <f t="shared" si="4"/>
        <v>16906.170000000042</v>
      </c>
    </row>
    <row r="224" spans="1:6" ht="15">
      <c r="A224" s="72"/>
      <c r="B224" s="77"/>
      <c r="C224" s="1" t="s">
        <v>586</v>
      </c>
      <c r="D224" s="2">
        <v>1200000</v>
      </c>
      <c r="E224" s="5">
        <f>192006</f>
        <v>192006</v>
      </c>
      <c r="F224" s="27">
        <f t="shared" si="4"/>
        <v>1007994</v>
      </c>
    </row>
    <row r="225" spans="1:6" ht="30.75">
      <c r="A225" s="72"/>
      <c r="B225" s="77"/>
      <c r="C225" s="1" t="s">
        <v>491</v>
      </c>
      <c r="D225" s="2">
        <f>1340000+24000</f>
        <v>1364000</v>
      </c>
      <c r="E225" s="5">
        <f>51554.08+493473.63+6140</f>
        <v>551167.71</v>
      </c>
      <c r="F225" s="27">
        <f t="shared" si="4"/>
        <v>812832.29</v>
      </c>
    </row>
    <row r="226" spans="1:6" ht="15">
      <c r="A226" s="72"/>
      <c r="B226" s="77"/>
      <c r="C226" s="1" t="s">
        <v>700</v>
      </c>
      <c r="D226" s="2">
        <v>850000</v>
      </c>
      <c r="E226" s="5">
        <f>373000</f>
        <v>373000</v>
      </c>
      <c r="F226" s="27">
        <f t="shared" si="4"/>
        <v>477000</v>
      </c>
    </row>
    <row r="227" spans="1:6" ht="30.75">
      <c r="A227" s="72"/>
      <c r="B227" s="77"/>
      <c r="C227" s="1" t="s">
        <v>756</v>
      </c>
      <c r="D227" s="2">
        <v>62778.28</v>
      </c>
      <c r="E227" s="5"/>
      <c r="F227" s="27">
        <f t="shared" si="4"/>
        <v>62778.28</v>
      </c>
    </row>
    <row r="228" spans="1:6" ht="15">
      <c r="A228" s="72"/>
      <c r="B228" s="77"/>
      <c r="C228" s="6" t="s">
        <v>335</v>
      </c>
      <c r="D228" s="2">
        <v>112851.36</v>
      </c>
      <c r="E228" s="5">
        <f>110009.31+2574</f>
        <v>112583.31</v>
      </c>
      <c r="F228" s="27">
        <f t="shared" si="4"/>
        <v>268.0500000000029</v>
      </c>
    </row>
    <row r="229" spans="1:6" ht="15">
      <c r="A229" s="72"/>
      <c r="B229" s="77"/>
      <c r="C229" s="6" t="s">
        <v>336</v>
      </c>
      <c r="D229" s="2">
        <v>100000</v>
      </c>
      <c r="E229" s="5"/>
      <c r="F229" s="27">
        <f t="shared" si="4"/>
        <v>100000</v>
      </c>
    </row>
    <row r="230" spans="1:6" ht="15">
      <c r="A230" s="72"/>
      <c r="B230" s="77"/>
      <c r="C230" s="1" t="s">
        <v>492</v>
      </c>
      <c r="D230" s="2">
        <v>1000000</v>
      </c>
      <c r="E230" s="5">
        <f>493968.5</f>
        <v>493968.5</v>
      </c>
      <c r="F230" s="27">
        <f t="shared" si="4"/>
        <v>506031.5</v>
      </c>
    </row>
    <row r="231" spans="1:6" ht="15">
      <c r="A231" s="72"/>
      <c r="B231" s="77"/>
      <c r="C231" s="1" t="s">
        <v>330</v>
      </c>
      <c r="D231" s="2">
        <v>1000000</v>
      </c>
      <c r="E231" s="5">
        <f>400000+599999.58</f>
        <v>999999.58</v>
      </c>
      <c r="F231" s="27">
        <f t="shared" si="4"/>
        <v>0.4200000000419095</v>
      </c>
    </row>
    <row r="232" spans="1:6" ht="30.75">
      <c r="A232" s="72"/>
      <c r="B232" s="77"/>
      <c r="C232" s="9" t="s">
        <v>407</v>
      </c>
      <c r="D232" s="2">
        <f>940070+900000</f>
        <v>1840070</v>
      </c>
      <c r="E232" s="5">
        <f>872043.71</f>
        <v>872043.71</v>
      </c>
      <c r="F232" s="27">
        <f t="shared" si="4"/>
        <v>968026.29</v>
      </c>
    </row>
    <row r="233" spans="1:6" ht="15">
      <c r="A233" s="72"/>
      <c r="B233" s="77"/>
      <c r="C233" s="6" t="s">
        <v>332</v>
      </c>
      <c r="D233" s="2">
        <v>268840</v>
      </c>
      <c r="E233" s="5">
        <f>81989.46</f>
        <v>81989.46</v>
      </c>
      <c r="F233" s="27">
        <f t="shared" si="4"/>
        <v>186850.53999999998</v>
      </c>
    </row>
    <row r="234" spans="1:6" ht="15">
      <c r="A234" s="72"/>
      <c r="B234" s="77"/>
      <c r="C234" s="6" t="s">
        <v>333</v>
      </c>
      <c r="D234" s="2">
        <v>1292458</v>
      </c>
      <c r="E234" s="5"/>
      <c r="F234" s="27">
        <f t="shared" si="4"/>
        <v>1292458</v>
      </c>
    </row>
    <row r="235" spans="1:6" ht="46.5">
      <c r="A235" s="72"/>
      <c r="B235" s="77"/>
      <c r="C235" s="1" t="s">
        <v>473</v>
      </c>
      <c r="D235" s="22">
        <v>1000000</v>
      </c>
      <c r="E235" s="5">
        <f>248751.84</f>
        <v>248751.84</v>
      </c>
      <c r="F235" s="27">
        <f t="shared" si="4"/>
        <v>751248.16</v>
      </c>
    </row>
    <row r="236" spans="1:6" ht="30.75">
      <c r="A236" s="73"/>
      <c r="B236" s="78"/>
      <c r="C236" s="1" t="s">
        <v>521</v>
      </c>
      <c r="D236" s="22">
        <v>360000</v>
      </c>
      <c r="E236" s="5"/>
      <c r="F236" s="27">
        <f t="shared" si="4"/>
        <v>360000</v>
      </c>
    </row>
    <row r="237" spans="1:6" ht="78">
      <c r="A237" s="32"/>
      <c r="B237" s="33"/>
      <c r="C237" s="1" t="s">
        <v>708</v>
      </c>
      <c r="D237" s="22">
        <v>197000</v>
      </c>
      <c r="E237" s="5"/>
      <c r="F237" s="27">
        <f t="shared" si="4"/>
        <v>197000</v>
      </c>
    </row>
    <row r="238" spans="1:6" ht="15" customHeight="1">
      <c r="A238" s="71" t="s">
        <v>39</v>
      </c>
      <c r="B238" s="76" t="s">
        <v>40</v>
      </c>
      <c r="C238" s="6"/>
      <c r="D238" s="4">
        <f>SUM(D239:D241)</f>
        <v>3477878</v>
      </c>
      <c r="E238" s="4">
        <f>SUM(E239:E241)</f>
        <v>2826870.5</v>
      </c>
      <c r="F238" s="27">
        <f t="shared" si="4"/>
        <v>651007.5</v>
      </c>
    </row>
    <row r="239" spans="1:6" ht="15">
      <c r="A239" s="72"/>
      <c r="B239" s="77"/>
      <c r="C239" s="1" t="s">
        <v>418</v>
      </c>
      <c r="D239" s="2">
        <v>3200000</v>
      </c>
      <c r="E239" s="5">
        <f>1327870+54978+1217688.91+33612.59</f>
        <v>2634149.5</v>
      </c>
      <c r="F239" s="27">
        <f t="shared" si="4"/>
        <v>565850.5</v>
      </c>
    </row>
    <row r="240" spans="1:6" ht="15">
      <c r="A240" s="72"/>
      <c r="B240" s="77"/>
      <c r="C240" s="1" t="s">
        <v>418</v>
      </c>
      <c r="D240" s="2">
        <v>85157</v>
      </c>
      <c r="E240" s="5"/>
      <c r="F240" s="27">
        <f t="shared" si="4"/>
        <v>85157</v>
      </c>
    </row>
    <row r="241" spans="1:6" ht="15">
      <c r="A241" s="72"/>
      <c r="B241" s="77"/>
      <c r="C241" s="1" t="s">
        <v>591</v>
      </c>
      <c r="D241" s="2">
        <f>192721</f>
        <v>192721</v>
      </c>
      <c r="E241" s="5">
        <f>192721</f>
        <v>192721</v>
      </c>
      <c r="F241" s="27">
        <f t="shared" si="4"/>
        <v>0</v>
      </c>
    </row>
    <row r="242" spans="1:6" ht="15">
      <c r="A242" s="74" t="s">
        <v>41</v>
      </c>
      <c r="B242" s="82" t="s">
        <v>42</v>
      </c>
      <c r="C242" s="13"/>
      <c r="D242" s="4">
        <f>SUM(D243:D246)</f>
        <v>1203955.56</v>
      </c>
      <c r="E242" s="4">
        <f>SUM(E243:E246)</f>
        <v>181667</v>
      </c>
      <c r="F242" s="27">
        <f t="shared" si="4"/>
        <v>1022288.56</v>
      </c>
    </row>
    <row r="243" spans="1:6" ht="30.75">
      <c r="A243" s="74"/>
      <c r="B243" s="82"/>
      <c r="C243" s="6" t="s">
        <v>421</v>
      </c>
      <c r="D243" s="2">
        <v>210296.78</v>
      </c>
      <c r="E243" s="2">
        <v>147647</v>
      </c>
      <c r="F243" s="27">
        <f t="shared" si="4"/>
        <v>62649.78</v>
      </c>
    </row>
    <row r="244" spans="1:6" ht="46.5">
      <c r="A244" s="74"/>
      <c r="B244" s="82"/>
      <c r="C244" s="6" t="s">
        <v>592</v>
      </c>
      <c r="D244" s="2">
        <f>35000</f>
        <v>35000</v>
      </c>
      <c r="E244" s="2">
        <f>34020</f>
        <v>34020</v>
      </c>
      <c r="F244" s="27">
        <f t="shared" si="4"/>
        <v>980</v>
      </c>
    </row>
    <row r="245" spans="1:6" ht="30.75">
      <c r="A245" s="74"/>
      <c r="B245" s="82"/>
      <c r="C245" s="6" t="s">
        <v>419</v>
      </c>
      <c r="D245" s="2">
        <v>3158.78</v>
      </c>
      <c r="E245" s="2"/>
      <c r="F245" s="27">
        <f t="shared" si="4"/>
        <v>3158.78</v>
      </c>
    </row>
    <row r="246" spans="1:6" ht="30.75">
      <c r="A246" s="74"/>
      <c r="B246" s="82"/>
      <c r="C246" s="6" t="s">
        <v>420</v>
      </c>
      <c r="D246" s="2">
        <v>955500</v>
      </c>
      <c r="E246" s="2"/>
      <c r="F246" s="27">
        <f t="shared" si="4"/>
        <v>955500</v>
      </c>
    </row>
    <row r="247" spans="1:6" ht="15">
      <c r="A247" s="71" t="s">
        <v>647</v>
      </c>
      <c r="B247" s="76" t="s">
        <v>648</v>
      </c>
      <c r="C247" s="6"/>
      <c r="D247" s="4">
        <f>D248</f>
        <v>2400000</v>
      </c>
      <c r="E247" s="4">
        <f>E248</f>
        <v>844263.16</v>
      </c>
      <c r="F247" s="27">
        <f t="shared" si="4"/>
        <v>1555736.8399999999</v>
      </c>
    </row>
    <row r="248" spans="1:6" ht="78">
      <c r="A248" s="73"/>
      <c r="B248" s="78"/>
      <c r="C248" s="6" t="s">
        <v>649</v>
      </c>
      <c r="D248" s="2">
        <v>2400000</v>
      </c>
      <c r="E248" s="2">
        <f>300000+300000+240000+4263.16</f>
        <v>844263.16</v>
      </c>
      <c r="F248" s="27">
        <f aca="true" t="shared" si="5" ref="F248:F310">D248-E248</f>
        <v>1555736.8399999999</v>
      </c>
    </row>
    <row r="249" spans="1:6" ht="15">
      <c r="A249" s="74" t="s">
        <v>43</v>
      </c>
      <c r="B249" s="82" t="s">
        <v>44</v>
      </c>
      <c r="C249" s="6"/>
      <c r="D249" s="4">
        <f>SUM(D250:D255)</f>
        <v>2238486.3899999997</v>
      </c>
      <c r="E249" s="4">
        <f>SUM(E250:E255)</f>
        <v>770432.62</v>
      </c>
      <c r="F249" s="27">
        <f t="shared" si="5"/>
        <v>1468053.7699999996</v>
      </c>
    </row>
    <row r="250" spans="1:6" ht="46.5">
      <c r="A250" s="74"/>
      <c r="B250" s="82"/>
      <c r="C250" s="6" t="s">
        <v>622</v>
      </c>
      <c r="D250" s="2">
        <f>179045.31-173830.39+173830.39</f>
        <v>179045.31</v>
      </c>
      <c r="E250" s="5"/>
      <c r="F250" s="27">
        <f t="shared" si="5"/>
        <v>179045.31</v>
      </c>
    </row>
    <row r="251" spans="1:6" ht="78">
      <c r="A251" s="74"/>
      <c r="B251" s="82"/>
      <c r="C251" s="6" t="s">
        <v>623</v>
      </c>
      <c r="D251" s="2">
        <f>12240.08-8010.66+8010.66</f>
        <v>12240.08</v>
      </c>
      <c r="E251" s="5">
        <f>5242.72+157.28</f>
        <v>5400</v>
      </c>
      <c r="F251" s="27">
        <f t="shared" si="5"/>
        <v>6840.08</v>
      </c>
    </row>
    <row r="252" spans="1:6" ht="78">
      <c r="A252" s="74"/>
      <c r="B252" s="82"/>
      <c r="C252" s="6" t="s">
        <v>624</v>
      </c>
      <c r="D252" s="2">
        <f>1428-1181.79+1181.79</f>
        <v>1428</v>
      </c>
      <c r="E252" s="5"/>
      <c r="F252" s="27">
        <f t="shared" si="5"/>
        <v>1428</v>
      </c>
    </row>
    <row r="253" spans="1:6" ht="78">
      <c r="A253" s="74"/>
      <c r="B253" s="82"/>
      <c r="C253" s="6" t="s">
        <v>625</v>
      </c>
      <c r="D253" s="2">
        <f>1458-895.63+895.63</f>
        <v>1458</v>
      </c>
      <c r="E253" s="5"/>
      <c r="F253" s="27">
        <f t="shared" si="5"/>
        <v>1458</v>
      </c>
    </row>
    <row r="254" spans="1:6" ht="62.25">
      <c r="A254" s="74"/>
      <c r="B254" s="82"/>
      <c r="C254" s="6" t="s">
        <v>683</v>
      </c>
      <c r="D254" s="2">
        <v>1643108</v>
      </c>
      <c r="E254" s="5">
        <f>411371.7</f>
        <v>411371.7</v>
      </c>
      <c r="F254" s="27">
        <f t="shared" si="5"/>
        <v>1231736.3</v>
      </c>
    </row>
    <row r="255" spans="1:6" ht="78">
      <c r="A255" s="74"/>
      <c r="B255" s="82"/>
      <c r="C255" s="6" t="s">
        <v>626</v>
      </c>
      <c r="D255" s="2">
        <f>401207-1171.85+1171.85</f>
        <v>401207</v>
      </c>
      <c r="E255" s="5">
        <f>358653.92-4993</f>
        <v>353660.92</v>
      </c>
      <c r="F255" s="27">
        <f t="shared" si="5"/>
        <v>47546.080000000016</v>
      </c>
    </row>
    <row r="256" spans="1:6" ht="15" customHeight="1">
      <c r="A256" s="71" t="s">
        <v>45</v>
      </c>
      <c r="B256" s="76" t="s">
        <v>46</v>
      </c>
      <c r="C256" s="6"/>
      <c r="D256" s="4">
        <f>D257+D277</f>
        <v>8793356.719999999</v>
      </c>
      <c r="E256" s="4">
        <f>E257+E277</f>
        <v>3793119.710000001</v>
      </c>
      <c r="F256" s="27">
        <f t="shared" si="5"/>
        <v>5000237.009999998</v>
      </c>
    </row>
    <row r="257" spans="1:6" ht="15">
      <c r="A257" s="72"/>
      <c r="B257" s="77"/>
      <c r="C257" s="13" t="s">
        <v>633</v>
      </c>
      <c r="D257" s="4">
        <f>SUM(D258:D276)</f>
        <v>8154632.72</v>
      </c>
      <c r="E257" s="4">
        <f>SUM(E258:E276)</f>
        <v>3563936.5100000007</v>
      </c>
      <c r="F257" s="27">
        <f t="shared" si="5"/>
        <v>4590696.209999999</v>
      </c>
    </row>
    <row r="258" spans="1:6" ht="15">
      <c r="A258" s="72"/>
      <c r="B258" s="77"/>
      <c r="C258" s="6" t="s">
        <v>627</v>
      </c>
      <c r="D258" s="2">
        <v>400000</v>
      </c>
      <c r="E258" s="5"/>
      <c r="F258" s="27">
        <f t="shared" si="5"/>
        <v>400000</v>
      </c>
    </row>
    <row r="259" spans="1:6" ht="30.75">
      <c r="A259" s="72"/>
      <c r="B259" s="77"/>
      <c r="C259" s="6" t="s">
        <v>628</v>
      </c>
      <c r="D259" s="2">
        <v>221700</v>
      </c>
      <c r="E259" s="5">
        <f>221000</f>
        <v>221000</v>
      </c>
      <c r="F259" s="27">
        <f t="shared" si="5"/>
        <v>700</v>
      </c>
    </row>
    <row r="260" spans="1:6" ht="30.75">
      <c r="A260" s="72"/>
      <c r="B260" s="77"/>
      <c r="C260" s="6" t="s">
        <v>629</v>
      </c>
      <c r="D260" s="2">
        <v>20000</v>
      </c>
      <c r="E260" s="5">
        <f>10867</f>
        <v>10867</v>
      </c>
      <c r="F260" s="27">
        <f t="shared" si="5"/>
        <v>9133</v>
      </c>
    </row>
    <row r="261" spans="1:6" ht="30.75">
      <c r="A261" s="72"/>
      <c r="B261" s="77"/>
      <c r="C261" s="6" t="s">
        <v>630</v>
      </c>
      <c r="D261" s="2">
        <v>40000</v>
      </c>
      <c r="E261" s="5">
        <f>37816</f>
        <v>37816</v>
      </c>
      <c r="F261" s="27">
        <f t="shared" si="5"/>
        <v>2184</v>
      </c>
    </row>
    <row r="262" spans="1:6" ht="30.75">
      <c r="A262" s="72"/>
      <c r="B262" s="77"/>
      <c r="C262" s="6" t="s">
        <v>631</v>
      </c>
      <c r="D262" s="2">
        <v>40000</v>
      </c>
      <c r="E262" s="5">
        <f>37202</f>
        <v>37202</v>
      </c>
      <c r="F262" s="27">
        <f t="shared" si="5"/>
        <v>2798</v>
      </c>
    </row>
    <row r="263" spans="1:6" ht="15">
      <c r="A263" s="72"/>
      <c r="B263" s="77"/>
      <c r="C263" s="6" t="s">
        <v>632</v>
      </c>
      <c r="D263" s="5">
        <v>2500000</v>
      </c>
      <c r="E263" s="5"/>
      <c r="F263" s="27">
        <f t="shared" si="5"/>
        <v>2500000</v>
      </c>
    </row>
    <row r="264" spans="1:6" ht="30.75">
      <c r="A264" s="72"/>
      <c r="B264" s="77"/>
      <c r="C264" s="6" t="s">
        <v>597</v>
      </c>
      <c r="D264" s="5">
        <f>17144.35</f>
        <v>17144.35</v>
      </c>
      <c r="E264" s="5">
        <f>17144.34</f>
        <v>17144.34</v>
      </c>
      <c r="F264" s="27">
        <f t="shared" si="5"/>
        <v>0.00999999999839929</v>
      </c>
    </row>
    <row r="265" spans="1:6" ht="30.75">
      <c r="A265" s="72"/>
      <c r="B265" s="77"/>
      <c r="C265" s="6" t="s">
        <v>598</v>
      </c>
      <c r="D265" s="5">
        <v>29000</v>
      </c>
      <c r="E265" s="5">
        <v>29000</v>
      </c>
      <c r="F265" s="27">
        <f t="shared" si="5"/>
        <v>0</v>
      </c>
    </row>
    <row r="266" spans="1:6" ht="30.75">
      <c r="A266" s="72"/>
      <c r="B266" s="77"/>
      <c r="C266" s="6" t="s">
        <v>599</v>
      </c>
      <c r="D266" s="5">
        <v>70000</v>
      </c>
      <c r="E266" s="5">
        <v>69852.76</v>
      </c>
      <c r="F266" s="27">
        <f t="shared" si="5"/>
        <v>147.24000000000524</v>
      </c>
    </row>
    <row r="267" spans="1:6" ht="30.75">
      <c r="A267" s="72"/>
      <c r="B267" s="77"/>
      <c r="C267" s="6" t="s">
        <v>602</v>
      </c>
      <c r="D267" s="5">
        <v>280000</v>
      </c>
      <c r="E267" s="5"/>
      <c r="F267" s="27">
        <f t="shared" si="5"/>
        <v>280000</v>
      </c>
    </row>
    <row r="268" spans="1:6" ht="30.75">
      <c r="A268" s="72"/>
      <c r="B268" s="77"/>
      <c r="C268" s="6" t="s">
        <v>603</v>
      </c>
      <c r="D268" s="5">
        <v>190000</v>
      </c>
      <c r="E268" s="5">
        <f>178900</f>
        <v>178900</v>
      </c>
      <c r="F268" s="27">
        <f t="shared" si="5"/>
        <v>11100</v>
      </c>
    </row>
    <row r="269" spans="1:6" ht="30.75">
      <c r="A269" s="72"/>
      <c r="B269" s="77"/>
      <c r="C269" s="6" t="s">
        <v>604</v>
      </c>
      <c r="D269" s="5">
        <v>110000</v>
      </c>
      <c r="E269" s="5">
        <f>106808.28</f>
        <v>106808.28</v>
      </c>
      <c r="F269" s="27">
        <f t="shared" si="5"/>
        <v>3191.720000000001</v>
      </c>
    </row>
    <row r="270" spans="1:6" ht="46.5">
      <c r="A270" s="72"/>
      <c r="B270" s="77"/>
      <c r="C270" s="6" t="s">
        <v>601</v>
      </c>
      <c r="D270" s="5">
        <v>1000000</v>
      </c>
      <c r="E270" s="5"/>
      <c r="F270" s="27">
        <f t="shared" si="5"/>
        <v>1000000</v>
      </c>
    </row>
    <row r="271" spans="1:6" ht="46.5">
      <c r="A271" s="72"/>
      <c r="B271" s="77"/>
      <c r="C271" s="6" t="s">
        <v>422</v>
      </c>
      <c r="D271" s="2">
        <v>494418.2</v>
      </c>
      <c r="E271" s="5">
        <f>439626.8+12702</f>
        <v>452328.8</v>
      </c>
      <c r="F271" s="27">
        <f t="shared" si="5"/>
        <v>42089.40000000002</v>
      </c>
    </row>
    <row r="272" spans="1:6" ht="30.75">
      <c r="A272" s="72"/>
      <c r="B272" s="77"/>
      <c r="C272" s="6" t="s">
        <v>423</v>
      </c>
      <c r="D272" s="2">
        <v>1146377.5</v>
      </c>
      <c r="E272" s="5">
        <f>1033699.16+105942.74+1064</f>
        <v>1140705.9000000001</v>
      </c>
      <c r="F272" s="27">
        <f t="shared" si="5"/>
        <v>5671.59999999986</v>
      </c>
    </row>
    <row r="273" spans="1:6" ht="46.5">
      <c r="A273" s="72"/>
      <c r="B273" s="77"/>
      <c r="C273" s="6" t="s">
        <v>424</v>
      </c>
      <c r="D273" s="2">
        <f>604860.64-399000</f>
        <v>205860.64</v>
      </c>
      <c r="E273" s="5">
        <f>194123.64</f>
        <v>194123.64</v>
      </c>
      <c r="F273" s="27">
        <f t="shared" si="5"/>
        <v>11737</v>
      </c>
    </row>
    <row r="274" spans="1:6" ht="46.5">
      <c r="A274" s="72"/>
      <c r="B274" s="77"/>
      <c r="C274" s="6" t="s">
        <v>425</v>
      </c>
      <c r="D274" s="2">
        <v>359992.2</v>
      </c>
      <c r="E274" s="5">
        <v>343420.2</v>
      </c>
      <c r="F274" s="27">
        <f t="shared" si="5"/>
        <v>16572</v>
      </c>
    </row>
    <row r="275" spans="1:6" ht="30.75">
      <c r="A275" s="72"/>
      <c r="B275" s="77"/>
      <c r="C275" s="6" t="s">
        <v>426</v>
      </c>
      <c r="D275" s="2">
        <v>730139.83</v>
      </c>
      <c r="E275" s="5">
        <f>400000+324767.59</f>
        <v>724767.5900000001</v>
      </c>
      <c r="F275" s="27">
        <f t="shared" si="5"/>
        <v>5372.239999999874</v>
      </c>
    </row>
    <row r="276" spans="1:6" ht="30.75">
      <c r="A276" s="72"/>
      <c r="B276" s="77"/>
      <c r="C276" s="6" t="s">
        <v>600</v>
      </c>
      <c r="D276" s="2">
        <v>300000</v>
      </c>
      <c r="E276" s="5"/>
      <c r="F276" s="27">
        <f t="shared" si="5"/>
        <v>300000</v>
      </c>
    </row>
    <row r="277" spans="1:6" ht="30.75">
      <c r="A277" s="72"/>
      <c r="B277" s="77"/>
      <c r="C277" s="13" t="s">
        <v>47</v>
      </c>
      <c r="D277" s="4">
        <f>SUM(D278:D280)</f>
        <v>638724</v>
      </c>
      <c r="E277" s="4">
        <f>SUM(E278:E280)</f>
        <v>229183.2</v>
      </c>
      <c r="F277" s="27">
        <f t="shared" si="5"/>
        <v>409540.8</v>
      </c>
    </row>
    <row r="278" spans="1:6" ht="62.25">
      <c r="A278" s="72"/>
      <c r="B278" s="77"/>
      <c r="C278" s="6" t="s">
        <v>427</v>
      </c>
      <c r="D278" s="2">
        <v>330000</v>
      </c>
      <c r="E278" s="5"/>
      <c r="F278" s="27">
        <f t="shared" si="5"/>
        <v>330000</v>
      </c>
    </row>
    <row r="279" spans="1:6" ht="30.75">
      <c r="A279" s="72"/>
      <c r="B279" s="77"/>
      <c r="C279" s="6" t="s">
        <v>428</v>
      </c>
      <c r="D279" s="2">
        <v>3805</v>
      </c>
      <c r="E279" s="5"/>
      <c r="F279" s="27">
        <f t="shared" si="5"/>
        <v>3805</v>
      </c>
    </row>
    <row r="280" spans="1:6" ht="46.5">
      <c r="A280" s="73"/>
      <c r="B280" s="78"/>
      <c r="C280" s="6" t="s">
        <v>605</v>
      </c>
      <c r="D280" s="2">
        <v>304919</v>
      </c>
      <c r="E280" s="5">
        <f>229183.2</f>
        <v>229183.2</v>
      </c>
      <c r="F280" s="27">
        <f t="shared" si="5"/>
        <v>75735.79999999999</v>
      </c>
    </row>
    <row r="281" spans="1:6" ht="15">
      <c r="A281" s="71" t="s">
        <v>606</v>
      </c>
      <c r="B281" s="76" t="s">
        <v>607</v>
      </c>
      <c r="C281" s="6"/>
      <c r="D281" s="4">
        <f>D283+D282</f>
        <v>440000</v>
      </c>
      <c r="E281" s="4">
        <f>E283</f>
        <v>0</v>
      </c>
      <c r="F281" s="27">
        <f t="shared" si="5"/>
        <v>440000</v>
      </c>
    </row>
    <row r="282" spans="1:6" ht="46.5">
      <c r="A282" s="72"/>
      <c r="B282" s="77"/>
      <c r="C282" s="6" t="s">
        <v>717</v>
      </c>
      <c r="D282" s="2">
        <v>240000</v>
      </c>
      <c r="E282" s="4"/>
      <c r="F282" s="27">
        <f t="shared" si="5"/>
        <v>240000</v>
      </c>
    </row>
    <row r="283" spans="1:6" ht="78">
      <c r="A283" s="73"/>
      <c r="B283" s="78"/>
      <c r="C283" s="6" t="s">
        <v>608</v>
      </c>
      <c r="D283" s="2">
        <v>200000</v>
      </c>
      <c r="E283" s="5"/>
      <c r="F283" s="27">
        <f t="shared" si="5"/>
        <v>200000</v>
      </c>
    </row>
    <row r="284" spans="1:6" ht="30.75">
      <c r="A284" s="36" t="s">
        <v>3</v>
      </c>
      <c r="B284" s="37" t="s">
        <v>5</v>
      </c>
      <c r="C284" s="8"/>
      <c r="D284" s="4">
        <f>D285</f>
        <v>112024351.32000001</v>
      </c>
      <c r="E284" s="4">
        <f>E285</f>
        <v>83137437.50000001</v>
      </c>
      <c r="F284" s="27">
        <f t="shared" si="5"/>
        <v>28886913.819999993</v>
      </c>
    </row>
    <row r="285" spans="1:6" ht="30.75">
      <c r="A285" s="36" t="s">
        <v>4</v>
      </c>
      <c r="B285" s="37" t="s">
        <v>5</v>
      </c>
      <c r="C285" s="8"/>
      <c r="D285" s="4">
        <f>D291+D286+D289</f>
        <v>112024351.32000001</v>
      </c>
      <c r="E285" s="4">
        <f>E291+E286+E289</f>
        <v>83137437.50000001</v>
      </c>
      <c r="F285" s="27">
        <f t="shared" si="5"/>
        <v>28886913.819999993</v>
      </c>
    </row>
    <row r="286" spans="1:6" ht="15">
      <c r="A286" s="79" t="s">
        <v>684</v>
      </c>
      <c r="B286" s="64" t="s">
        <v>44</v>
      </c>
      <c r="C286" s="8"/>
      <c r="D286" s="4">
        <f>SUM(D287:D288)</f>
        <v>8705279</v>
      </c>
      <c r="E286" s="4">
        <f>SUM(E287:E288)</f>
        <v>4957284.4</v>
      </c>
      <c r="F286" s="27">
        <f t="shared" si="5"/>
        <v>3747994.5999999996</v>
      </c>
    </row>
    <row r="287" spans="1:6" ht="93">
      <c r="A287" s="80"/>
      <c r="B287" s="70"/>
      <c r="C287" s="6" t="s">
        <v>685</v>
      </c>
      <c r="D287" s="2">
        <v>6053279</v>
      </c>
      <c r="E287" s="2">
        <f>1612467.72+761836.68</f>
        <v>2374304.4</v>
      </c>
      <c r="F287" s="27">
        <f t="shared" si="5"/>
        <v>3678974.6</v>
      </c>
    </row>
    <row r="288" spans="1:6" ht="78">
      <c r="A288" s="81"/>
      <c r="B288" s="65"/>
      <c r="C288" s="6" t="s">
        <v>686</v>
      </c>
      <c r="D288" s="2">
        <v>2652000</v>
      </c>
      <c r="E288" s="2">
        <f>2582980</f>
        <v>2582980</v>
      </c>
      <c r="F288" s="27">
        <f t="shared" si="5"/>
        <v>69020</v>
      </c>
    </row>
    <row r="289" spans="1:6" ht="21" customHeight="1">
      <c r="A289" s="66" t="s">
        <v>760</v>
      </c>
      <c r="B289" s="64" t="s">
        <v>761</v>
      </c>
      <c r="C289" s="29"/>
      <c r="D289" s="12">
        <f>D290</f>
        <v>6936781</v>
      </c>
      <c r="E289" s="12">
        <f>E290</f>
        <v>0</v>
      </c>
      <c r="F289" s="27">
        <f t="shared" si="5"/>
        <v>6936781</v>
      </c>
    </row>
    <row r="290" spans="1:6" ht="151.5" customHeight="1">
      <c r="A290" s="67"/>
      <c r="B290" s="65"/>
      <c r="C290" s="29" t="s">
        <v>743</v>
      </c>
      <c r="D290" s="5">
        <v>6936781</v>
      </c>
      <c r="E290" s="5"/>
      <c r="F290" s="27">
        <f t="shared" si="5"/>
        <v>6936781</v>
      </c>
    </row>
    <row r="291" spans="1:6" ht="21" customHeight="1">
      <c r="A291" s="66" t="s">
        <v>48</v>
      </c>
      <c r="B291" s="92" t="s">
        <v>49</v>
      </c>
      <c r="C291" s="8"/>
      <c r="D291" s="4">
        <f>D292+D298+D303+D311+D318+D323+D325+D327+D332+D330+D320+D334</f>
        <v>96382291.32000001</v>
      </c>
      <c r="E291" s="4">
        <f>E292+E298+E303+E311+E318+E323+E325+E327+E332+E330+E320+E334</f>
        <v>78180153.10000001</v>
      </c>
      <c r="F291" s="27">
        <f t="shared" si="5"/>
        <v>18202138.22</v>
      </c>
    </row>
    <row r="292" spans="1:6" ht="30.75">
      <c r="A292" s="94"/>
      <c r="B292" s="93"/>
      <c r="C292" s="13" t="s">
        <v>53</v>
      </c>
      <c r="D292" s="12">
        <f>SUM(D293:D297)-D294</f>
        <v>17547738.5</v>
      </c>
      <c r="E292" s="12">
        <f>SUM(E293:E297)-E294</f>
        <v>15847378.2</v>
      </c>
      <c r="F292" s="27">
        <f t="shared" si="5"/>
        <v>1700360.3000000007</v>
      </c>
    </row>
    <row r="293" spans="1:6" ht="46.5">
      <c r="A293" s="94"/>
      <c r="B293" s="93"/>
      <c r="C293" s="6" t="s">
        <v>670</v>
      </c>
      <c r="D293" s="5">
        <f>2500000+1657680+10941560</f>
        <v>15099240</v>
      </c>
      <c r="E293" s="5">
        <f>1672338.7+2480260+1188300+349500+7408500+1980000</f>
        <v>15078898.7</v>
      </c>
      <c r="F293" s="27">
        <f t="shared" si="5"/>
        <v>20341.300000000745</v>
      </c>
    </row>
    <row r="294" spans="1:6" ht="15">
      <c r="A294" s="94"/>
      <c r="B294" s="93"/>
      <c r="C294" s="6" t="s">
        <v>671</v>
      </c>
      <c r="D294" s="5">
        <v>10941560</v>
      </c>
      <c r="E294" s="5">
        <f>1188300+349500+7408500</f>
        <v>8946300</v>
      </c>
      <c r="F294" s="27">
        <f t="shared" si="5"/>
        <v>1995260</v>
      </c>
    </row>
    <row r="295" spans="1:6" ht="46.5">
      <c r="A295" s="94"/>
      <c r="B295" s="93"/>
      <c r="C295" s="6" t="s">
        <v>139</v>
      </c>
      <c r="D295" s="5">
        <v>1450000</v>
      </c>
      <c r="E295" s="5">
        <f>70000</f>
        <v>70000</v>
      </c>
      <c r="F295" s="27">
        <f t="shared" si="5"/>
        <v>1380000</v>
      </c>
    </row>
    <row r="296" spans="1:6" ht="46.5">
      <c r="A296" s="94"/>
      <c r="B296" s="93"/>
      <c r="C296" s="6" t="s">
        <v>593</v>
      </c>
      <c r="D296" s="5">
        <f>622647.2-36774.7</f>
        <v>585872.5</v>
      </c>
      <c r="E296" s="5">
        <f>577158.5+8714</f>
        <v>585872.5</v>
      </c>
      <c r="F296" s="27">
        <f t="shared" si="5"/>
        <v>0</v>
      </c>
    </row>
    <row r="297" spans="1:6" ht="46.5">
      <c r="A297" s="94"/>
      <c r="B297" s="93"/>
      <c r="C297" s="6" t="s">
        <v>594</v>
      </c>
      <c r="D297" s="5">
        <v>412626</v>
      </c>
      <c r="E297" s="5">
        <f>112607</f>
        <v>112607</v>
      </c>
      <c r="F297" s="27">
        <f t="shared" si="5"/>
        <v>300019</v>
      </c>
    </row>
    <row r="298" spans="1:6" ht="30.75">
      <c r="A298" s="94"/>
      <c r="B298" s="93"/>
      <c r="C298" s="13" t="s">
        <v>149</v>
      </c>
      <c r="D298" s="12">
        <f>D301+D302+D299+D300</f>
        <v>1849140</v>
      </c>
      <c r="E298" s="12">
        <f>E301+E302+E299+E300</f>
        <v>748418.02</v>
      </c>
      <c r="F298" s="27">
        <f t="shared" si="5"/>
        <v>1100721.98</v>
      </c>
    </row>
    <row r="299" spans="1:6" ht="46.5">
      <c r="A299" s="94"/>
      <c r="B299" s="93"/>
      <c r="C299" s="6" t="s">
        <v>595</v>
      </c>
      <c r="D299" s="5">
        <f>124700-100</f>
        <v>124600</v>
      </c>
      <c r="E299" s="5">
        <f>92840+31760</f>
        <v>124600</v>
      </c>
      <c r="F299" s="27">
        <f t="shared" si="5"/>
        <v>0</v>
      </c>
    </row>
    <row r="300" spans="1:6" ht="46.5">
      <c r="A300" s="94"/>
      <c r="B300" s="93"/>
      <c r="C300" s="6" t="s">
        <v>596</v>
      </c>
      <c r="D300" s="5">
        <v>186540</v>
      </c>
      <c r="E300" s="5">
        <f>101894.42+1000+33765</f>
        <v>136659.41999999998</v>
      </c>
      <c r="F300" s="27">
        <f t="shared" si="5"/>
        <v>49880.580000000016</v>
      </c>
    </row>
    <row r="301" spans="1:6" ht="30.75">
      <c r="A301" s="94"/>
      <c r="B301" s="93"/>
      <c r="C301" s="1" t="s">
        <v>140</v>
      </c>
      <c r="D301" s="5">
        <v>38000</v>
      </c>
      <c r="E301" s="5">
        <f>38000</f>
        <v>38000</v>
      </c>
      <c r="F301" s="27">
        <f t="shared" si="5"/>
        <v>0</v>
      </c>
    </row>
    <row r="302" spans="1:6" ht="49.5" customHeight="1">
      <c r="A302" s="94"/>
      <c r="B302" s="93"/>
      <c r="C302" s="1" t="s">
        <v>500</v>
      </c>
      <c r="D302" s="5">
        <v>1500000</v>
      </c>
      <c r="E302" s="5">
        <f>99158.6+350000</f>
        <v>449158.6</v>
      </c>
      <c r="F302" s="27">
        <f t="shared" si="5"/>
        <v>1050841.4</v>
      </c>
    </row>
    <row r="303" spans="1:6" ht="30.75">
      <c r="A303" s="94"/>
      <c r="B303" s="93"/>
      <c r="C303" s="13" t="s">
        <v>54</v>
      </c>
      <c r="D303" s="12">
        <f>SUM(D304:D310)-D305</f>
        <v>51251682.69</v>
      </c>
      <c r="E303" s="12">
        <f>SUM(E304:E310)-E305</f>
        <v>41847555.220000006</v>
      </c>
      <c r="F303" s="27">
        <f t="shared" si="5"/>
        <v>9404127.469999991</v>
      </c>
    </row>
    <row r="304" spans="1:6" ht="93">
      <c r="A304" s="94"/>
      <c r="B304" s="93"/>
      <c r="C304" s="6" t="s">
        <v>672</v>
      </c>
      <c r="D304" s="5">
        <f>4500000+500000+2800000+1000000+34677140-1296513</f>
        <v>42180627</v>
      </c>
      <c r="E304" s="5">
        <f>4445000+16174674+894000+1125960.5+5000000+5531450+125737.01+2353015.32</f>
        <v>35649836.83</v>
      </c>
      <c r="F304" s="27">
        <f t="shared" si="5"/>
        <v>6530790.170000002</v>
      </c>
    </row>
    <row r="305" spans="1:6" ht="15">
      <c r="A305" s="94"/>
      <c r="B305" s="93"/>
      <c r="C305" s="6" t="s">
        <v>671</v>
      </c>
      <c r="D305" s="5">
        <v>34677140</v>
      </c>
      <c r="E305" s="5">
        <f>16174674+894000+5000000</f>
        <v>22068674</v>
      </c>
      <c r="F305" s="27">
        <f t="shared" si="5"/>
        <v>12608466</v>
      </c>
    </row>
    <row r="306" spans="1:6" ht="30.75">
      <c r="A306" s="94"/>
      <c r="B306" s="93"/>
      <c r="C306" s="6" t="s">
        <v>150</v>
      </c>
      <c r="D306" s="5">
        <v>2200000</v>
      </c>
      <c r="E306" s="5">
        <v>2200000</v>
      </c>
      <c r="F306" s="27">
        <f t="shared" si="5"/>
        <v>0</v>
      </c>
    </row>
    <row r="307" spans="1:6" ht="62.25">
      <c r="A307" s="94"/>
      <c r="B307" s="93"/>
      <c r="C307" s="6" t="s">
        <v>719</v>
      </c>
      <c r="D307" s="5">
        <v>1014949</v>
      </c>
      <c r="E307" s="5">
        <f>1006309.2+2160</f>
        <v>1008469.2</v>
      </c>
      <c r="F307" s="27">
        <f t="shared" si="5"/>
        <v>6479.800000000047</v>
      </c>
    </row>
    <row r="308" spans="1:6" ht="46.5">
      <c r="A308" s="94"/>
      <c r="B308" s="93"/>
      <c r="C308" s="6" t="s">
        <v>720</v>
      </c>
      <c r="D308" s="5">
        <v>86516.39</v>
      </c>
      <c r="E308" s="5"/>
      <c r="F308" s="27">
        <f t="shared" si="5"/>
        <v>86516.39</v>
      </c>
    </row>
    <row r="309" spans="1:6" ht="46.5">
      <c r="A309" s="94"/>
      <c r="B309" s="93"/>
      <c r="C309" s="6" t="s">
        <v>721</v>
      </c>
      <c r="D309" s="5">
        <f>4214590.3</f>
        <v>4214590.3</v>
      </c>
      <c r="E309" s="5">
        <f>359464.8+1129860.72</f>
        <v>1489325.52</v>
      </c>
      <c r="F309" s="27">
        <f t="shared" si="5"/>
        <v>2725264.78</v>
      </c>
    </row>
    <row r="310" spans="1:6" ht="30.75">
      <c r="A310" s="94"/>
      <c r="B310" s="93"/>
      <c r="C310" s="6" t="s">
        <v>151</v>
      </c>
      <c r="D310" s="5">
        <f>2438000-938000+55000</f>
        <v>1555000</v>
      </c>
      <c r="E310" s="5">
        <v>1499923.67</v>
      </c>
      <c r="F310" s="27">
        <f t="shared" si="5"/>
        <v>55076.330000000075</v>
      </c>
    </row>
    <row r="311" spans="1:6" ht="30.75">
      <c r="A311" s="94"/>
      <c r="B311" s="93"/>
      <c r="C311" s="13" t="s">
        <v>742</v>
      </c>
      <c r="D311" s="12">
        <f>SUM(D312:D317)</f>
        <v>9492423.11</v>
      </c>
      <c r="E311" s="12">
        <f>SUM(E312:E317)</f>
        <v>7474621.260000001</v>
      </c>
      <c r="F311" s="27">
        <f aca="true" t="shared" si="6" ref="F311:F372">D311-E311</f>
        <v>2017801.8499999987</v>
      </c>
    </row>
    <row r="312" spans="1:6" ht="46.5">
      <c r="A312" s="94"/>
      <c r="B312" s="93"/>
      <c r="C312" s="6" t="s">
        <v>650</v>
      </c>
      <c r="D312" s="5">
        <f>4705000+915000</f>
        <v>5620000</v>
      </c>
      <c r="E312" s="5">
        <f>4700370-32479.08+510927.55+143362.88+47579.04</f>
        <v>5369760.39</v>
      </c>
      <c r="F312" s="27">
        <f t="shared" si="6"/>
        <v>250239.61000000034</v>
      </c>
    </row>
    <row r="313" spans="1:6" ht="78">
      <c r="A313" s="94"/>
      <c r="B313" s="93"/>
      <c r="C313" s="6" t="s">
        <v>662</v>
      </c>
      <c r="D313" s="5">
        <v>91000</v>
      </c>
      <c r="E313" s="5">
        <f>91000-3285.51</f>
        <v>87714.49</v>
      </c>
      <c r="F313" s="27">
        <f t="shared" si="6"/>
        <v>3285.5099999999948</v>
      </c>
    </row>
    <row r="314" spans="1:6" ht="30.75">
      <c r="A314" s="94"/>
      <c r="B314" s="93"/>
      <c r="C314" s="6" t="s">
        <v>141</v>
      </c>
      <c r="D314" s="5">
        <v>551423.11</v>
      </c>
      <c r="E314" s="5">
        <v>551423.11</v>
      </c>
      <c r="F314" s="27">
        <f t="shared" si="6"/>
        <v>0</v>
      </c>
    </row>
    <row r="315" spans="1:6" ht="30.75">
      <c r="A315" s="94"/>
      <c r="B315" s="93"/>
      <c r="C315" s="6" t="s">
        <v>718</v>
      </c>
      <c r="D315" s="5">
        <v>1490000</v>
      </c>
      <c r="E315" s="5">
        <f>732435.48+2700</f>
        <v>735135.48</v>
      </c>
      <c r="F315" s="27">
        <f t="shared" si="6"/>
        <v>754864.52</v>
      </c>
    </row>
    <row r="316" spans="1:6" ht="30.75">
      <c r="A316" s="94"/>
      <c r="B316" s="93"/>
      <c r="C316" s="6" t="s">
        <v>142</v>
      </c>
      <c r="D316" s="5">
        <v>1490000</v>
      </c>
      <c r="E316" s="5">
        <f>85044+628296.19+17247.6</f>
        <v>730587.7899999999</v>
      </c>
      <c r="F316" s="27">
        <f t="shared" si="6"/>
        <v>759412.2100000001</v>
      </c>
    </row>
    <row r="317" spans="1:6" ht="46.5">
      <c r="A317" s="94"/>
      <c r="B317" s="93"/>
      <c r="C317" s="6" t="s">
        <v>758</v>
      </c>
      <c r="D317" s="5">
        <v>250000</v>
      </c>
      <c r="E317" s="5"/>
      <c r="F317" s="27">
        <f t="shared" si="6"/>
        <v>250000</v>
      </c>
    </row>
    <row r="318" spans="1:6" ht="30.75">
      <c r="A318" s="94"/>
      <c r="B318" s="93"/>
      <c r="C318" s="14" t="s">
        <v>52</v>
      </c>
      <c r="D318" s="12">
        <f>SUM(D319:D319)</f>
        <v>3500000</v>
      </c>
      <c r="E318" s="12">
        <f>SUM(E319:E319)</f>
        <v>3291777.03</v>
      </c>
      <c r="F318" s="27">
        <f t="shared" si="6"/>
        <v>208222.9700000002</v>
      </c>
    </row>
    <row r="319" spans="1:6" ht="30.75">
      <c r="A319" s="94"/>
      <c r="B319" s="93"/>
      <c r="C319" s="15" t="s">
        <v>143</v>
      </c>
      <c r="D319" s="5">
        <f>1738078-630858+2392780</f>
        <v>3500000</v>
      </c>
      <c r="E319" s="5">
        <f>741339.1+60+319652.9+506193.5+475540.1+912251.32+336740.11</f>
        <v>3291777.03</v>
      </c>
      <c r="F319" s="27">
        <f t="shared" si="6"/>
        <v>208222.9700000002</v>
      </c>
    </row>
    <row r="320" spans="1:6" ht="30.75">
      <c r="A320" s="94"/>
      <c r="B320" s="93"/>
      <c r="C320" s="14" t="s">
        <v>663</v>
      </c>
      <c r="D320" s="12">
        <f>SUM(D321:D322)</f>
        <v>3777000</v>
      </c>
      <c r="E320" s="12">
        <f>SUM(E321:E322)</f>
        <v>2793925.0199999996</v>
      </c>
      <c r="F320" s="27">
        <f t="shared" si="6"/>
        <v>983074.9800000004</v>
      </c>
    </row>
    <row r="321" spans="1:6" ht="78">
      <c r="A321" s="94"/>
      <c r="B321" s="93"/>
      <c r="C321" s="15" t="s">
        <v>664</v>
      </c>
      <c r="D321" s="5">
        <v>234000</v>
      </c>
      <c r="E321" s="5">
        <f>51000+63360+119000</f>
        <v>233360</v>
      </c>
      <c r="F321" s="27">
        <f t="shared" si="6"/>
        <v>640</v>
      </c>
    </row>
    <row r="322" spans="1:6" ht="46.5">
      <c r="A322" s="94"/>
      <c r="B322" s="93"/>
      <c r="C322" s="15" t="s">
        <v>665</v>
      </c>
      <c r="D322" s="5">
        <v>3543000</v>
      </c>
      <c r="E322" s="5">
        <f>150000+557048.22+1785000+68516.8</f>
        <v>2560565.0199999996</v>
      </c>
      <c r="F322" s="27">
        <f t="shared" si="6"/>
        <v>982434.9800000004</v>
      </c>
    </row>
    <row r="323" spans="1:6" ht="53.25" customHeight="1">
      <c r="A323" s="94"/>
      <c r="B323" s="93"/>
      <c r="C323" s="13" t="s">
        <v>50</v>
      </c>
      <c r="D323" s="12">
        <f>D324</f>
        <v>1500000</v>
      </c>
      <c r="E323" s="12">
        <f>E324</f>
        <v>686453.63</v>
      </c>
      <c r="F323" s="27">
        <f t="shared" si="6"/>
        <v>813546.37</v>
      </c>
    </row>
    <row r="324" spans="1:6" ht="30.75">
      <c r="A324" s="94"/>
      <c r="B324" s="93"/>
      <c r="C324" s="15" t="s">
        <v>144</v>
      </c>
      <c r="D324" s="5">
        <v>1500000</v>
      </c>
      <c r="E324" s="5">
        <f>148974.12+45487.36+109085+382907.15</f>
        <v>686453.63</v>
      </c>
      <c r="F324" s="27">
        <f t="shared" si="6"/>
        <v>813546.37</v>
      </c>
    </row>
    <row r="325" spans="1:6" ht="48" customHeight="1">
      <c r="A325" s="94"/>
      <c r="B325" s="93"/>
      <c r="C325" s="14" t="s">
        <v>2</v>
      </c>
      <c r="D325" s="12">
        <f>SUM(D326:D326)</f>
        <v>1500000</v>
      </c>
      <c r="E325" s="12">
        <f>SUM(E326:E326)</f>
        <v>1484846.44</v>
      </c>
      <c r="F325" s="27">
        <f t="shared" si="6"/>
        <v>15153.560000000056</v>
      </c>
    </row>
    <row r="326" spans="1:6" ht="46.5">
      <c r="A326" s="94"/>
      <c r="B326" s="93"/>
      <c r="C326" s="15" t="s">
        <v>145</v>
      </c>
      <c r="D326" s="5">
        <v>1500000</v>
      </c>
      <c r="E326" s="5">
        <f>41750+85747.1+150273.84+15960+1191115.5</f>
        <v>1484846.44</v>
      </c>
      <c r="F326" s="27">
        <f t="shared" si="6"/>
        <v>15153.560000000056</v>
      </c>
    </row>
    <row r="327" spans="1:6" ht="51.75" customHeight="1">
      <c r="A327" s="94"/>
      <c r="B327" s="93"/>
      <c r="C327" s="14" t="s">
        <v>51</v>
      </c>
      <c r="D327" s="12">
        <f>SUM(D328:D329)</f>
        <v>1701646</v>
      </c>
      <c r="E327" s="12">
        <f>SUM(E328:E329)</f>
        <v>628233.01</v>
      </c>
      <c r="F327" s="27">
        <f t="shared" si="6"/>
        <v>1073412.99</v>
      </c>
    </row>
    <row r="328" spans="1:6" ht="30.75">
      <c r="A328" s="94"/>
      <c r="B328" s="93"/>
      <c r="C328" s="15" t="s">
        <v>146</v>
      </c>
      <c r="D328" s="5">
        <v>1450000</v>
      </c>
      <c r="E328" s="5">
        <f>77663+403610.85+146959.16</f>
        <v>628233.01</v>
      </c>
      <c r="F328" s="27">
        <f t="shared" si="6"/>
        <v>821766.99</v>
      </c>
    </row>
    <row r="329" spans="1:6" ht="46.5">
      <c r="A329" s="94"/>
      <c r="B329" s="93"/>
      <c r="C329" s="15" t="s">
        <v>759</v>
      </c>
      <c r="D329" s="5">
        <v>251646</v>
      </c>
      <c r="E329" s="5"/>
      <c r="F329" s="27">
        <f t="shared" si="6"/>
        <v>251646</v>
      </c>
    </row>
    <row r="330" spans="1:6" ht="46.5">
      <c r="A330" s="94"/>
      <c r="B330" s="93"/>
      <c r="C330" s="14" t="s">
        <v>516</v>
      </c>
      <c r="D330" s="12">
        <f>D331</f>
        <v>419086.54</v>
      </c>
      <c r="E330" s="12">
        <f>E331</f>
        <v>419086.54</v>
      </c>
      <c r="F330" s="27">
        <f t="shared" si="6"/>
        <v>0</v>
      </c>
    </row>
    <row r="331" spans="1:6" ht="62.25">
      <c r="A331" s="94"/>
      <c r="B331" s="93"/>
      <c r="C331" s="15" t="s">
        <v>515</v>
      </c>
      <c r="D331" s="5">
        <f>446000-26913.46</f>
        <v>419086.54</v>
      </c>
      <c r="E331" s="5">
        <f>419086.54</f>
        <v>419086.54</v>
      </c>
      <c r="F331" s="27">
        <f t="shared" si="6"/>
        <v>0</v>
      </c>
    </row>
    <row r="332" spans="1:6" ht="30.75">
      <c r="A332" s="94"/>
      <c r="B332" s="93"/>
      <c r="C332" s="14" t="s">
        <v>148</v>
      </c>
      <c r="D332" s="12">
        <f>D333</f>
        <v>540574.48</v>
      </c>
      <c r="E332" s="12">
        <f>E333</f>
        <v>538978.73</v>
      </c>
      <c r="F332" s="27">
        <f t="shared" si="6"/>
        <v>1595.75</v>
      </c>
    </row>
    <row r="333" spans="1:6" ht="62.25">
      <c r="A333" s="94"/>
      <c r="B333" s="93"/>
      <c r="C333" s="15" t="s">
        <v>147</v>
      </c>
      <c r="D333" s="5">
        <f>869717-329142.52</f>
        <v>540574.48</v>
      </c>
      <c r="E333" s="5">
        <f>54427.2+291753.63+192797.9</f>
        <v>538978.73</v>
      </c>
      <c r="F333" s="27">
        <f t="shared" si="6"/>
        <v>1595.75</v>
      </c>
    </row>
    <row r="334" spans="1:6" ht="30.75">
      <c r="A334" s="94"/>
      <c r="B334" s="93"/>
      <c r="C334" s="14" t="s">
        <v>666</v>
      </c>
      <c r="D334" s="12">
        <f>D335</f>
        <v>3303000</v>
      </c>
      <c r="E334" s="12">
        <f>E335</f>
        <v>2418880</v>
      </c>
      <c r="F334" s="27">
        <f t="shared" si="6"/>
        <v>884120</v>
      </c>
    </row>
    <row r="335" spans="1:6" ht="46.5">
      <c r="A335" s="94"/>
      <c r="B335" s="93"/>
      <c r="C335" s="15" t="s">
        <v>667</v>
      </c>
      <c r="D335" s="5">
        <v>3303000</v>
      </c>
      <c r="E335" s="5">
        <f>604200+1155880+658800</f>
        <v>2418880</v>
      </c>
      <c r="F335" s="27">
        <f t="shared" si="6"/>
        <v>884120</v>
      </c>
    </row>
    <row r="336" spans="1:6" ht="15">
      <c r="A336" s="36" t="s">
        <v>55</v>
      </c>
      <c r="B336" s="90" t="s">
        <v>56</v>
      </c>
      <c r="C336" s="91"/>
      <c r="D336" s="48">
        <f>D337</f>
        <v>30871703.5</v>
      </c>
      <c r="E336" s="48">
        <f>E337</f>
        <v>28441949.3</v>
      </c>
      <c r="F336" s="27">
        <f t="shared" si="6"/>
        <v>2429754.1999999993</v>
      </c>
    </row>
    <row r="337" spans="1:6" ht="15">
      <c r="A337" s="36" t="s">
        <v>57</v>
      </c>
      <c r="B337" s="90" t="s">
        <v>56</v>
      </c>
      <c r="C337" s="91"/>
      <c r="D337" s="48">
        <f>D340+D357+D352+D342+D344+D346+D348+D350</f>
        <v>30871703.5</v>
      </c>
      <c r="E337" s="48">
        <f>E340+E357+E352+E342+E344+E346+E348+E350</f>
        <v>28441949.3</v>
      </c>
      <c r="F337" s="27">
        <f t="shared" si="6"/>
        <v>2429754.1999999993</v>
      </c>
    </row>
    <row r="338" spans="1:6" ht="21" customHeight="1" hidden="1">
      <c r="A338" s="85" t="s">
        <v>58</v>
      </c>
      <c r="B338" s="75" t="s">
        <v>20</v>
      </c>
      <c r="C338" s="1"/>
      <c r="D338" s="4">
        <f>SUM(D339:D339)</f>
        <v>0</v>
      </c>
      <c r="E338" s="4">
        <f>SUM(E339:E339)</f>
        <v>0</v>
      </c>
      <c r="F338" s="27">
        <f t="shared" si="6"/>
        <v>0</v>
      </c>
    </row>
    <row r="339" spans="1:6" ht="21" customHeight="1" hidden="1">
      <c r="A339" s="85"/>
      <c r="B339" s="75"/>
      <c r="C339" s="1"/>
      <c r="D339" s="2"/>
      <c r="E339" s="2"/>
      <c r="F339" s="27">
        <f t="shared" si="6"/>
        <v>0</v>
      </c>
    </row>
    <row r="340" spans="1:6" ht="15">
      <c r="A340" s="85" t="s">
        <v>59</v>
      </c>
      <c r="B340" s="75" t="s">
        <v>60</v>
      </c>
      <c r="C340" s="1"/>
      <c r="D340" s="4">
        <f>SUM(D341:D341)</f>
        <v>185000</v>
      </c>
      <c r="E340" s="4">
        <f>SUM(E341:E341)</f>
        <v>184884</v>
      </c>
      <c r="F340" s="27">
        <f t="shared" si="6"/>
        <v>116</v>
      </c>
    </row>
    <row r="341" spans="1:6" ht="30.75">
      <c r="A341" s="85"/>
      <c r="B341" s="75"/>
      <c r="C341" s="1" t="s">
        <v>121</v>
      </c>
      <c r="D341" s="5">
        <v>185000</v>
      </c>
      <c r="E341" s="5">
        <f>184884</f>
        <v>184884</v>
      </c>
      <c r="F341" s="27">
        <f t="shared" si="6"/>
        <v>116</v>
      </c>
    </row>
    <row r="342" spans="1:6" ht="15">
      <c r="A342" s="66" t="s">
        <v>110</v>
      </c>
      <c r="B342" s="64" t="s">
        <v>111</v>
      </c>
      <c r="C342" s="1"/>
      <c r="D342" s="12">
        <f>D343</f>
        <v>175000</v>
      </c>
      <c r="E342" s="12">
        <f>E343</f>
        <v>174350.02</v>
      </c>
      <c r="F342" s="27">
        <f t="shared" si="6"/>
        <v>649.9800000000105</v>
      </c>
    </row>
    <row r="343" spans="1:6" ht="62.25">
      <c r="A343" s="67"/>
      <c r="B343" s="65"/>
      <c r="C343" s="1" t="s">
        <v>609</v>
      </c>
      <c r="D343" s="5">
        <v>175000</v>
      </c>
      <c r="E343" s="5">
        <f>149350.02+25000</f>
        <v>174350.02</v>
      </c>
      <c r="F343" s="27">
        <f t="shared" si="6"/>
        <v>649.9800000000105</v>
      </c>
    </row>
    <row r="344" spans="1:6" ht="15">
      <c r="A344" s="66" t="s">
        <v>722</v>
      </c>
      <c r="B344" s="68" t="s">
        <v>723</v>
      </c>
      <c r="C344" s="1"/>
      <c r="D344" s="12">
        <f>D345</f>
        <v>21017815</v>
      </c>
      <c r="E344" s="49">
        <f>E345</f>
        <v>21017810.14</v>
      </c>
      <c r="F344" s="27">
        <f t="shared" si="6"/>
        <v>4.8599999994039536</v>
      </c>
    </row>
    <row r="345" spans="1:6" ht="288.75" customHeight="1">
      <c r="A345" s="67"/>
      <c r="B345" s="69"/>
      <c r="C345" s="1" t="s">
        <v>724</v>
      </c>
      <c r="D345" s="5">
        <v>21017815</v>
      </c>
      <c r="E345" s="5">
        <v>21017810.14</v>
      </c>
      <c r="F345" s="27">
        <f t="shared" si="6"/>
        <v>4.8599999994039536</v>
      </c>
    </row>
    <row r="346" spans="1:6" ht="52.5" customHeight="1">
      <c r="A346" s="66" t="s">
        <v>725</v>
      </c>
      <c r="B346" s="68" t="s">
        <v>726</v>
      </c>
      <c r="C346" s="1"/>
      <c r="D346" s="12">
        <f>D347</f>
        <v>102502</v>
      </c>
      <c r="E346" s="12">
        <f>E347</f>
        <v>102501.54</v>
      </c>
      <c r="F346" s="27">
        <f t="shared" si="6"/>
        <v>0.46000000000640284</v>
      </c>
    </row>
    <row r="347" spans="1:6" ht="322.5" customHeight="1">
      <c r="A347" s="67"/>
      <c r="B347" s="69"/>
      <c r="C347" s="1" t="s">
        <v>727</v>
      </c>
      <c r="D347" s="5">
        <f>102502</f>
        <v>102502</v>
      </c>
      <c r="E347" s="5">
        <v>102501.54</v>
      </c>
      <c r="F347" s="27">
        <f t="shared" si="6"/>
        <v>0.46000000000640284</v>
      </c>
    </row>
    <row r="348" spans="1:6" ht="46.5" customHeight="1">
      <c r="A348" s="66" t="s">
        <v>728</v>
      </c>
      <c r="B348" s="68" t="s">
        <v>729</v>
      </c>
      <c r="C348" s="1"/>
      <c r="D348" s="12">
        <f>D349</f>
        <v>4580590</v>
      </c>
      <c r="E348" s="5">
        <f>E349</f>
        <v>4580590</v>
      </c>
      <c r="F348" s="27">
        <f t="shared" si="6"/>
        <v>0</v>
      </c>
    </row>
    <row r="349" spans="1:6" ht="212.25" customHeight="1">
      <c r="A349" s="67"/>
      <c r="B349" s="69"/>
      <c r="C349" s="1" t="s">
        <v>730</v>
      </c>
      <c r="D349" s="5">
        <f>4580590</f>
        <v>4580590</v>
      </c>
      <c r="E349" s="5">
        <v>4580590</v>
      </c>
      <c r="F349" s="27">
        <f t="shared" si="6"/>
        <v>0</v>
      </c>
    </row>
    <row r="350" spans="1:6" ht="15">
      <c r="A350" s="66" t="s">
        <v>744</v>
      </c>
      <c r="B350" s="68" t="s">
        <v>745</v>
      </c>
      <c r="C350" s="1"/>
      <c r="D350" s="12">
        <f>D351</f>
        <v>1378512</v>
      </c>
      <c r="E350" s="12">
        <f>E351</f>
        <v>0</v>
      </c>
      <c r="F350" s="27">
        <f t="shared" si="6"/>
        <v>1378512</v>
      </c>
    </row>
    <row r="351" spans="1:6" ht="124.5">
      <c r="A351" s="67"/>
      <c r="B351" s="69"/>
      <c r="C351" s="1" t="s">
        <v>746</v>
      </c>
      <c r="D351" s="5">
        <v>1378512</v>
      </c>
      <c r="E351" s="5"/>
      <c r="F351" s="27">
        <f t="shared" si="6"/>
        <v>1378512</v>
      </c>
    </row>
    <row r="352" spans="1:6" ht="15">
      <c r="A352" s="85" t="s">
        <v>137</v>
      </c>
      <c r="B352" s="75" t="s">
        <v>138</v>
      </c>
      <c r="C352" s="1"/>
      <c r="D352" s="4">
        <f>SUM(D353:D356)</f>
        <v>1695042</v>
      </c>
      <c r="E352" s="4">
        <f>SUM(E353:E356)</f>
        <v>1240053.5699999998</v>
      </c>
      <c r="F352" s="27">
        <f t="shared" si="6"/>
        <v>454988.43000000017</v>
      </c>
    </row>
    <row r="353" spans="1:6" ht="46.5">
      <c r="A353" s="85"/>
      <c r="B353" s="75"/>
      <c r="C353" s="1" t="s">
        <v>122</v>
      </c>
      <c r="D353" s="5">
        <f>40602+500000+300000</f>
        <v>840602</v>
      </c>
      <c r="E353" s="27">
        <f>163972.58+51555.78+1421.04+201315.57</f>
        <v>418264.97</v>
      </c>
      <c r="F353" s="27">
        <f t="shared" si="6"/>
        <v>422337.03</v>
      </c>
    </row>
    <row r="354" spans="1:6" ht="51.75" customHeight="1">
      <c r="A354" s="85"/>
      <c r="B354" s="75"/>
      <c r="C354" s="1" t="s">
        <v>123</v>
      </c>
      <c r="D354" s="5">
        <v>360260</v>
      </c>
      <c r="E354" s="5">
        <f>346758</f>
        <v>346758</v>
      </c>
      <c r="F354" s="27">
        <f t="shared" si="6"/>
        <v>13502</v>
      </c>
    </row>
    <row r="355" spans="1:6" ht="46.5">
      <c r="A355" s="85"/>
      <c r="B355" s="75"/>
      <c r="C355" s="1" t="s">
        <v>124</v>
      </c>
      <c r="D355" s="5">
        <v>130000</v>
      </c>
      <c r="E355" s="5">
        <f>129993.6</f>
        <v>129993.6</v>
      </c>
      <c r="F355" s="27">
        <f t="shared" si="6"/>
        <v>6.399999999994179</v>
      </c>
    </row>
    <row r="356" spans="1:6" ht="62.25">
      <c r="A356" s="85"/>
      <c r="B356" s="75"/>
      <c r="C356" s="1" t="s">
        <v>125</v>
      </c>
      <c r="D356" s="5">
        <f>45398+318282+500</f>
        <v>364180</v>
      </c>
      <c r="E356" s="5">
        <f>18895+326142</f>
        <v>345037</v>
      </c>
      <c r="F356" s="27">
        <f t="shared" si="6"/>
        <v>19143</v>
      </c>
    </row>
    <row r="357" spans="1:6" ht="15">
      <c r="A357" s="85" t="s">
        <v>135</v>
      </c>
      <c r="B357" s="75" t="s">
        <v>136</v>
      </c>
      <c r="C357" s="1"/>
      <c r="D357" s="4">
        <f>SUM(D358:D358)</f>
        <v>1737242.5</v>
      </c>
      <c r="E357" s="4">
        <f>SUM(E358:E358)</f>
        <v>1141760.03</v>
      </c>
      <c r="F357" s="27">
        <f t="shared" si="6"/>
        <v>595482.47</v>
      </c>
    </row>
    <row r="358" spans="1:6" ht="46.5">
      <c r="A358" s="85"/>
      <c r="B358" s="75"/>
      <c r="C358" s="1" t="s">
        <v>120</v>
      </c>
      <c r="D358" s="2">
        <v>1737242.5</v>
      </c>
      <c r="E358" s="2">
        <f>769528.43+126251.13+245980.47</f>
        <v>1141760.03</v>
      </c>
      <c r="F358" s="27">
        <f t="shared" si="6"/>
        <v>595482.47</v>
      </c>
    </row>
    <row r="359" spans="1:6" ht="21" customHeight="1" hidden="1">
      <c r="A359" s="74" t="s">
        <v>110</v>
      </c>
      <c r="B359" s="82" t="s">
        <v>111</v>
      </c>
      <c r="C359" s="6"/>
      <c r="D359" s="12">
        <f>SUM(D360:D361)</f>
        <v>0</v>
      </c>
      <c r="F359" s="27">
        <f t="shared" si="6"/>
        <v>0</v>
      </c>
    </row>
    <row r="360" spans="1:6" ht="21" customHeight="1" hidden="1">
      <c r="A360" s="74"/>
      <c r="B360" s="82"/>
      <c r="C360" s="6"/>
      <c r="D360" s="5"/>
      <c r="F360" s="27">
        <f t="shared" si="6"/>
        <v>0</v>
      </c>
    </row>
    <row r="361" spans="1:6" ht="21" customHeight="1" hidden="1">
      <c r="A361" s="74"/>
      <c r="B361" s="82"/>
      <c r="C361" s="6"/>
      <c r="D361" s="5"/>
      <c r="F361" s="27">
        <f t="shared" si="6"/>
        <v>0</v>
      </c>
    </row>
    <row r="362" spans="1:6" ht="81.75" customHeight="1" hidden="1">
      <c r="A362" s="74" t="s">
        <v>108</v>
      </c>
      <c r="B362" s="82" t="s">
        <v>109</v>
      </c>
      <c r="C362" s="6"/>
      <c r="D362" s="12">
        <f>SUM(D363:D364)</f>
        <v>0</v>
      </c>
      <c r="F362" s="27">
        <f t="shared" si="6"/>
        <v>0</v>
      </c>
    </row>
    <row r="363" spans="1:6" ht="15" customHeight="1" hidden="1">
      <c r="A363" s="74"/>
      <c r="B363" s="82"/>
      <c r="C363" s="6"/>
      <c r="D363" s="5"/>
      <c r="F363" s="27">
        <f t="shared" si="6"/>
        <v>0</v>
      </c>
    </row>
    <row r="364" spans="1:6" ht="15" customHeight="1" hidden="1">
      <c r="A364" s="74"/>
      <c r="B364" s="82"/>
      <c r="C364" s="6"/>
      <c r="D364" s="5"/>
      <c r="F364" s="27">
        <f t="shared" si="6"/>
        <v>0</v>
      </c>
    </row>
    <row r="365" spans="1:6" ht="15" hidden="1">
      <c r="A365" s="44" t="s">
        <v>112</v>
      </c>
      <c r="B365" s="45" t="s">
        <v>115</v>
      </c>
      <c r="C365" s="37"/>
      <c r="D365" s="12">
        <f>D366</f>
        <v>0</v>
      </c>
      <c r="F365" s="27">
        <f t="shared" si="6"/>
        <v>0</v>
      </c>
    </row>
    <row r="366" spans="1:6" ht="15" hidden="1">
      <c r="A366" s="44" t="s">
        <v>113</v>
      </c>
      <c r="B366" s="45" t="s">
        <v>115</v>
      </c>
      <c r="C366" s="37"/>
      <c r="D366" s="12">
        <f>D367</f>
        <v>0</v>
      </c>
      <c r="F366" s="27">
        <f t="shared" si="6"/>
        <v>0</v>
      </c>
    </row>
    <row r="367" spans="1:6" ht="81.75" customHeight="1" hidden="1">
      <c r="A367" s="74" t="s">
        <v>114</v>
      </c>
      <c r="B367" s="82" t="s">
        <v>20</v>
      </c>
      <c r="C367" s="37"/>
      <c r="D367" s="12">
        <f>D368</f>
        <v>0</v>
      </c>
      <c r="F367" s="27">
        <f t="shared" si="6"/>
        <v>0</v>
      </c>
    </row>
    <row r="368" spans="1:6" ht="81.75" customHeight="1" hidden="1">
      <c r="A368" s="74"/>
      <c r="B368" s="82"/>
      <c r="C368" s="6"/>
      <c r="D368" s="5"/>
      <c r="F368" s="27">
        <f t="shared" si="6"/>
        <v>0</v>
      </c>
    </row>
    <row r="369" spans="1:6" ht="30.75">
      <c r="A369" s="36" t="s">
        <v>61</v>
      </c>
      <c r="B369" s="37" t="s">
        <v>62</v>
      </c>
      <c r="C369" s="37"/>
      <c r="D369" s="12">
        <f>D370</f>
        <v>174899490.26999998</v>
      </c>
      <c r="E369" s="12">
        <f>E370</f>
        <v>112168682.71000001</v>
      </c>
      <c r="F369" s="27">
        <f t="shared" si="6"/>
        <v>62730807.55999997</v>
      </c>
    </row>
    <row r="370" spans="1:6" ht="30.75">
      <c r="A370" s="36" t="s">
        <v>63</v>
      </c>
      <c r="B370" s="37" t="s">
        <v>62</v>
      </c>
      <c r="C370" s="37"/>
      <c r="D370" s="12">
        <f>D371+D373+D385+D447+D505+D379+D445+D616+D612+D614+D443</f>
        <v>174899490.26999998</v>
      </c>
      <c r="E370" s="12">
        <f>E371+E373+E385+E447+E505+E379+E445+E616+E612+E614+E443</f>
        <v>112168682.71000001</v>
      </c>
      <c r="F370" s="27">
        <f t="shared" si="6"/>
        <v>62730807.55999997</v>
      </c>
    </row>
    <row r="371" spans="1:6" ht="33.75" customHeight="1">
      <c r="A371" s="88" t="s">
        <v>64</v>
      </c>
      <c r="B371" s="89" t="s">
        <v>20</v>
      </c>
      <c r="C371" s="8"/>
      <c r="D371" s="4">
        <f>D372</f>
        <v>273000</v>
      </c>
      <c r="E371" s="4">
        <f>E372</f>
        <v>97385</v>
      </c>
      <c r="F371" s="27">
        <f t="shared" si="6"/>
        <v>175615</v>
      </c>
    </row>
    <row r="372" spans="1:6" ht="42" customHeight="1">
      <c r="A372" s="88"/>
      <c r="B372" s="89"/>
      <c r="C372" s="8" t="s">
        <v>731</v>
      </c>
      <c r="D372" s="2">
        <f>273000</f>
        <v>273000</v>
      </c>
      <c r="E372" s="2">
        <f>97385</f>
        <v>97385</v>
      </c>
      <c r="F372" s="27">
        <f t="shared" si="6"/>
        <v>175615</v>
      </c>
    </row>
    <row r="373" spans="1:6" ht="15">
      <c r="A373" s="75" t="s">
        <v>65</v>
      </c>
      <c r="B373" s="75" t="s">
        <v>66</v>
      </c>
      <c r="C373" s="1"/>
      <c r="D373" s="4">
        <f>D374+D378</f>
        <v>23531786.73</v>
      </c>
      <c r="E373" s="4">
        <f>E374+E378</f>
        <v>8919893.01</v>
      </c>
      <c r="F373" s="27">
        <f aca="true" t="shared" si="7" ref="F373:F425">D373-E373</f>
        <v>14611893.72</v>
      </c>
    </row>
    <row r="374" spans="1:6" ht="78">
      <c r="A374" s="75"/>
      <c r="B374" s="75"/>
      <c r="C374" s="1" t="s">
        <v>770</v>
      </c>
      <c r="D374" s="2">
        <v>1831786.73</v>
      </c>
      <c r="E374" s="2">
        <v>1108742.33</v>
      </c>
      <c r="F374" s="27">
        <f t="shared" si="7"/>
        <v>723044.3999999999</v>
      </c>
    </row>
    <row r="375" spans="1:6" ht="30.75">
      <c r="A375" s="75"/>
      <c r="B375" s="75"/>
      <c r="C375" s="1" t="s">
        <v>635</v>
      </c>
      <c r="D375" s="2">
        <v>393000</v>
      </c>
      <c r="E375" s="5"/>
      <c r="F375" s="27">
        <f t="shared" si="7"/>
        <v>393000</v>
      </c>
    </row>
    <row r="376" spans="1:6" ht="46.5">
      <c r="A376" s="75"/>
      <c r="B376" s="75"/>
      <c r="C376" s="1" t="s">
        <v>634</v>
      </c>
      <c r="D376" s="2">
        <v>300000</v>
      </c>
      <c r="E376" s="5"/>
      <c r="F376" s="27">
        <f t="shared" si="7"/>
        <v>300000</v>
      </c>
    </row>
    <row r="377" spans="1:6" ht="30.75">
      <c r="A377" s="75"/>
      <c r="B377" s="75"/>
      <c r="C377" s="1" t="s">
        <v>614</v>
      </c>
      <c r="D377" s="2">
        <v>245000</v>
      </c>
      <c r="E377" s="5">
        <f>233803.41+5613</f>
        <v>239416.41</v>
      </c>
      <c r="F377" s="27">
        <f t="shared" si="7"/>
        <v>5583.5899999999965</v>
      </c>
    </row>
    <row r="378" spans="1:6" ht="78">
      <c r="A378" s="75"/>
      <c r="B378" s="75"/>
      <c r="C378" s="20" t="s">
        <v>476</v>
      </c>
      <c r="D378" s="2">
        <f>15000000+10000000-600000-2700000</f>
        <v>21700000</v>
      </c>
      <c r="E378" s="5">
        <f>3902023.67+172934+3736193.01</f>
        <v>7811150.68</v>
      </c>
      <c r="F378" s="27">
        <f t="shared" si="7"/>
        <v>13888849.32</v>
      </c>
    </row>
    <row r="379" spans="1:6" ht="21" customHeight="1">
      <c r="A379" s="64">
        <v>1216030</v>
      </c>
      <c r="B379" s="64" t="s">
        <v>67</v>
      </c>
      <c r="C379" s="1"/>
      <c r="D379" s="4">
        <f>SUM(D380:D384)</f>
        <v>1449250.23</v>
      </c>
      <c r="E379" s="4">
        <f>SUM(E380:E384)</f>
        <v>1147070</v>
      </c>
      <c r="F379" s="27">
        <f t="shared" si="7"/>
        <v>302180.23</v>
      </c>
    </row>
    <row r="380" spans="1:6" ht="30.75">
      <c r="A380" s="70"/>
      <c r="B380" s="70"/>
      <c r="C380" s="1" t="s">
        <v>610</v>
      </c>
      <c r="D380" s="2">
        <f>50000-300</f>
        <v>49700</v>
      </c>
      <c r="E380" s="2">
        <f>49700</f>
        <v>49700</v>
      </c>
      <c r="F380" s="27">
        <f t="shared" si="7"/>
        <v>0</v>
      </c>
    </row>
    <row r="381" spans="1:6" ht="51.75" customHeight="1">
      <c r="A381" s="70"/>
      <c r="B381" s="70"/>
      <c r="C381" s="20" t="s">
        <v>561</v>
      </c>
      <c r="D381" s="2">
        <f>200000-2030</f>
        <v>197970</v>
      </c>
      <c r="E381" s="2">
        <f>197970</f>
        <v>197970</v>
      </c>
      <c r="F381" s="27">
        <f t="shared" si="7"/>
        <v>0</v>
      </c>
    </row>
    <row r="382" spans="1:6" ht="48" customHeight="1">
      <c r="A382" s="70"/>
      <c r="B382" s="70"/>
      <c r="C382" s="20" t="s">
        <v>152</v>
      </c>
      <c r="D382" s="2">
        <f>490000-15000</f>
        <v>475000</v>
      </c>
      <c r="E382" s="2">
        <f>475000</f>
        <v>475000</v>
      </c>
      <c r="F382" s="27">
        <f t="shared" si="7"/>
        <v>0</v>
      </c>
    </row>
    <row r="383" spans="1:6" ht="46.5">
      <c r="A383" s="70"/>
      <c r="B383" s="70"/>
      <c r="C383" s="1" t="s">
        <v>153</v>
      </c>
      <c r="D383" s="2">
        <f>440000-15600</f>
        <v>424400</v>
      </c>
      <c r="E383" s="2">
        <f>424400</f>
        <v>424400</v>
      </c>
      <c r="F383" s="27">
        <f t="shared" si="7"/>
        <v>0</v>
      </c>
    </row>
    <row r="384" spans="1:6" ht="15">
      <c r="A384" s="65"/>
      <c r="B384" s="65"/>
      <c r="C384" s="1" t="s">
        <v>732</v>
      </c>
      <c r="D384" s="5">
        <v>302180.23</v>
      </c>
      <c r="E384" s="2"/>
      <c r="F384" s="27">
        <f t="shared" si="7"/>
        <v>302180.23</v>
      </c>
    </row>
    <row r="385" spans="1:6" ht="15" customHeight="1">
      <c r="A385" s="85" t="s">
        <v>68</v>
      </c>
      <c r="B385" s="75" t="s">
        <v>69</v>
      </c>
      <c r="C385" s="1"/>
      <c r="D385" s="4">
        <f>SUM(D386:D442)</f>
        <v>18241279.28</v>
      </c>
      <c r="E385" s="4">
        <f>SUM(E386:E442)</f>
        <v>14613281.269999998</v>
      </c>
      <c r="F385" s="27">
        <f t="shared" si="7"/>
        <v>3627998.0100000035</v>
      </c>
    </row>
    <row r="386" spans="1:6" ht="15">
      <c r="A386" s="85"/>
      <c r="B386" s="75"/>
      <c r="C386" s="1" t="s">
        <v>611</v>
      </c>
      <c r="D386" s="2">
        <f>1000000+450000+1900000</f>
        <v>3350000</v>
      </c>
      <c r="E386" s="5">
        <f>712500+707006.67</f>
        <v>1419506.67</v>
      </c>
      <c r="F386" s="27">
        <f t="shared" si="7"/>
        <v>1930493.33</v>
      </c>
    </row>
    <row r="387" spans="1:6" ht="30.75">
      <c r="A387" s="85"/>
      <c r="B387" s="75"/>
      <c r="C387" s="6" t="s">
        <v>562</v>
      </c>
      <c r="D387" s="5">
        <f>10490-2061.15</f>
        <v>8428.85</v>
      </c>
      <c r="E387" s="5">
        <f>8428.85</f>
        <v>8428.85</v>
      </c>
      <c r="F387" s="27">
        <f t="shared" si="7"/>
        <v>0</v>
      </c>
    </row>
    <row r="388" spans="1:6" ht="30.75">
      <c r="A388" s="85"/>
      <c r="B388" s="75"/>
      <c r="C388" s="6" t="s">
        <v>189</v>
      </c>
      <c r="D388" s="5">
        <f>110000+3525</f>
        <v>113525</v>
      </c>
      <c r="E388" s="5">
        <f>8842.56+76951+993.16</f>
        <v>86786.72</v>
      </c>
      <c r="F388" s="27">
        <f t="shared" si="7"/>
        <v>26738.28</v>
      </c>
    </row>
    <row r="389" spans="1:6" ht="30.75">
      <c r="A389" s="85"/>
      <c r="B389" s="75"/>
      <c r="C389" s="6" t="s">
        <v>166</v>
      </c>
      <c r="D389" s="5">
        <f>50000+40000-79000</f>
        <v>11000</v>
      </c>
      <c r="E389" s="5">
        <v>10238.37</v>
      </c>
      <c r="F389" s="27">
        <f t="shared" si="7"/>
        <v>761.6299999999992</v>
      </c>
    </row>
    <row r="390" spans="1:6" ht="30.75">
      <c r="A390" s="85"/>
      <c r="B390" s="75"/>
      <c r="C390" s="6" t="s">
        <v>196</v>
      </c>
      <c r="D390" s="5">
        <f>531055.84+300000-590000</f>
        <v>241055.83999999997</v>
      </c>
      <c r="E390" s="5"/>
      <c r="F390" s="27">
        <f t="shared" si="7"/>
        <v>241055.83999999997</v>
      </c>
    </row>
    <row r="391" spans="1:6" ht="46.5">
      <c r="A391" s="85"/>
      <c r="B391" s="75"/>
      <c r="C391" s="20" t="s">
        <v>158</v>
      </c>
      <c r="D391" s="2">
        <f>226413-45909.44</f>
        <v>180503.56</v>
      </c>
      <c r="E391" s="5">
        <f>16000+164502.56</f>
        <v>180502.56</v>
      </c>
      <c r="F391" s="27">
        <f t="shared" si="7"/>
        <v>1</v>
      </c>
    </row>
    <row r="392" spans="1:6" ht="46.5">
      <c r="A392" s="85"/>
      <c r="B392" s="75"/>
      <c r="C392" s="25" t="s">
        <v>554</v>
      </c>
      <c r="D392" s="5">
        <f>504910-250000-30519.95</f>
        <v>224390.05</v>
      </c>
      <c r="E392" s="5">
        <f>19000+205390.05</f>
        <v>224390.05</v>
      </c>
      <c r="F392" s="27">
        <f t="shared" si="7"/>
        <v>0</v>
      </c>
    </row>
    <row r="393" spans="1:6" ht="46.5">
      <c r="A393" s="85"/>
      <c r="B393" s="75"/>
      <c r="C393" s="25" t="s">
        <v>161</v>
      </c>
      <c r="D393" s="5">
        <f>461725-106369.63</f>
        <v>355355.37</v>
      </c>
      <c r="E393" s="5">
        <f>27000+328355.37</f>
        <v>355355.37</v>
      </c>
      <c r="F393" s="27">
        <f t="shared" si="7"/>
        <v>0</v>
      </c>
    </row>
    <row r="394" spans="1:6" ht="46.5">
      <c r="A394" s="85"/>
      <c r="B394" s="75"/>
      <c r="C394" s="6" t="s">
        <v>171</v>
      </c>
      <c r="D394" s="5">
        <f>300000-58137.89</f>
        <v>241862.11</v>
      </c>
      <c r="E394" s="5">
        <f>20000+221862.11</f>
        <v>241862.11</v>
      </c>
      <c r="F394" s="27">
        <f t="shared" si="7"/>
        <v>0</v>
      </c>
    </row>
    <row r="395" spans="1:6" ht="46.5">
      <c r="A395" s="85"/>
      <c r="B395" s="75"/>
      <c r="C395" s="1" t="s">
        <v>160</v>
      </c>
      <c r="D395" s="2">
        <f>350892-24838.12</f>
        <v>326053.88</v>
      </c>
      <c r="E395" s="5">
        <f>25000+301053.88</f>
        <v>326053.88</v>
      </c>
      <c r="F395" s="27">
        <f t="shared" si="7"/>
        <v>0</v>
      </c>
    </row>
    <row r="396" spans="1:6" ht="30.75">
      <c r="A396" s="85"/>
      <c r="B396" s="75"/>
      <c r="C396" s="1" t="s">
        <v>156</v>
      </c>
      <c r="D396" s="2">
        <f>350000-14729.29</f>
        <v>335270.71</v>
      </c>
      <c r="E396" s="5">
        <f>17000+317770.71</f>
        <v>334770.71</v>
      </c>
      <c r="F396" s="27">
        <f t="shared" si="7"/>
        <v>500</v>
      </c>
    </row>
    <row r="397" spans="1:6" ht="46.5">
      <c r="A397" s="85"/>
      <c r="B397" s="75"/>
      <c r="C397" s="20" t="s">
        <v>157</v>
      </c>
      <c r="D397" s="2">
        <f>471500-11883.27</f>
        <v>459616.73</v>
      </c>
      <c r="E397" s="5">
        <f>32000+427616.73</f>
        <v>459616.73</v>
      </c>
      <c r="F397" s="27">
        <f t="shared" si="7"/>
        <v>0</v>
      </c>
    </row>
    <row r="398" spans="1:6" ht="30.75">
      <c r="A398" s="85"/>
      <c r="B398" s="75"/>
      <c r="C398" s="20" t="s">
        <v>154</v>
      </c>
      <c r="D398" s="2">
        <f>265000-36563.05</f>
        <v>228436.95</v>
      </c>
      <c r="E398" s="5">
        <f>17500+210936.95</f>
        <v>228436.95</v>
      </c>
      <c r="F398" s="27">
        <f t="shared" si="7"/>
        <v>0</v>
      </c>
    </row>
    <row r="399" spans="1:6" ht="30.75">
      <c r="A399" s="85"/>
      <c r="B399" s="75"/>
      <c r="C399" s="25" t="s">
        <v>162</v>
      </c>
      <c r="D399" s="5">
        <f>257255-61506.56</f>
        <v>195748.44</v>
      </c>
      <c r="E399" s="5">
        <f>16000+179748.44</f>
        <v>195748.44</v>
      </c>
      <c r="F399" s="27">
        <f t="shared" si="7"/>
        <v>0</v>
      </c>
    </row>
    <row r="400" spans="1:6" ht="46.5">
      <c r="A400" s="85"/>
      <c r="B400" s="75"/>
      <c r="C400" s="25" t="s">
        <v>553</v>
      </c>
      <c r="D400" s="5">
        <f>258750-62715.13</f>
        <v>196034.87</v>
      </c>
      <c r="E400" s="5">
        <f>17000+179034.87</f>
        <v>196034.87</v>
      </c>
      <c r="F400" s="27">
        <f t="shared" si="7"/>
        <v>0</v>
      </c>
    </row>
    <row r="401" spans="1:6" ht="46.5">
      <c r="A401" s="85"/>
      <c r="B401" s="75"/>
      <c r="C401" s="25" t="s">
        <v>163</v>
      </c>
      <c r="D401" s="5">
        <f>247250-56822.26</f>
        <v>190427.74</v>
      </c>
      <c r="E401" s="5">
        <f>17000+173427.74</f>
        <v>190427.74</v>
      </c>
      <c r="F401" s="27">
        <f t="shared" si="7"/>
        <v>0</v>
      </c>
    </row>
    <row r="402" spans="1:6" ht="46.5">
      <c r="A402" s="85"/>
      <c r="B402" s="75"/>
      <c r="C402" s="6" t="s">
        <v>172</v>
      </c>
      <c r="D402" s="5">
        <f>500000-97984.74</f>
        <v>402015.26</v>
      </c>
      <c r="E402" s="5">
        <f>30000+372015.26</f>
        <v>402015.26</v>
      </c>
      <c r="F402" s="27">
        <f t="shared" si="7"/>
        <v>0</v>
      </c>
    </row>
    <row r="403" spans="1:6" ht="30.75">
      <c r="A403" s="85"/>
      <c r="B403" s="75"/>
      <c r="C403" s="6" t="s">
        <v>173</v>
      </c>
      <c r="D403" s="5">
        <f>300000-13978.08</f>
        <v>286021.92</v>
      </c>
      <c r="E403" s="5">
        <f>23000+263021.92</f>
        <v>286021.92</v>
      </c>
      <c r="F403" s="27">
        <f t="shared" si="7"/>
        <v>0</v>
      </c>
    </row>
    <row r="404" spans="1:6" ht="46.5">
      <c r="A404" s="85"/>
      <c r="B404" s="75"/>
      <c r="C404" s="20" t="s">
        <v>159</v>
      </c>
      <c r="D404" s="2">
        <f>885500-110909.13</f>
        <v>774590.87</v>
      </c>
      <c r="E404" s="5">
        <f>50000+724590.87</f>
        <v>774590.87</v>
      </c>
      <c r="F404" s="27">
        <f t="shared" si="7"/>
        <v>0</v>
      </c>
    </row>
    <row r="405" spans="1:6" ht="30.75">
      <c r="A405" s="85"/>
      <c r="B405" s="75"/>
      <c r="C405" s="6" t="s">
        <v>477</v>
      </c>
      <c r="D405" s="5">
        <f>590000-490000+404156.47</f>
        <v>504156.47</v>
      </c>
      <c r="E405" s="5">
        <f>35000+469156.47-915</f>
        <v>503241.47</v>
      </c>
      <c r="F405" s="27">
        <f t="shared" si="7"/>
        <v>915</v>
      </c>
    </row>
    <row r="406" spans="1:6" ht="45" customHeight="1">
      <c r="A406" s="85"/>
      <c r="B406" s="75"/>
      <c r="C406" s="6" t="s">
        <v>174</v>
      </c>
      <c r="D406" s="5">
        <f>400000-99531.12</f>
        <v>300468.88</v>
      </c>
      <c r="E406" s="5">
        <f>23000+277468.88</f>
        <v>300468.88</v>
      </c>
      <c r="F406" s="27">
        <f t="shared" si="7"/>
        <v>0</v>
      </c>
    </row>
    <row r="407" spans="1:6" ht="30.75">
      <c r="A407" s="85"/>
      <c r="B407" s="75"/>
      <c r="C407" s="6" t="s">
        <v>169</v>
      </c>
      <c r="D407" s="5">
        <f>975000-875000+854402.92</f>
        <v>954402.92</v>
      </c>
      <c r="E407" s="5">
        <f>60000+894402.92-1745</f>
        <v>952657.92</v>
      </c>
      <c r="F407" s="27">
        <f t="shared" si="7"/>
        <v>1745</v>
      </c>
    </row>
    <row r="408" spans="1:6" ht="46.5">
      <c r="A408" s="85"/>
      <c r="B408" s="75"/>
      <c r="C408" s="25" t="s">
        <v>555</v>
      </c>
      <c r="D408" s="5">
        <f>519800-245000-11031.87</f>
        <v>263768.13</v>
      </c>
      <c r="E408" s="5">
        <f>40000+223768.13</f>
        <v>263768.13</v>
      </c>
      <c r="F408" s="27">
        <f t="shared" si="7"/>
        <v>0</v>
      </c>
    </row>
    <row r="409" spans="1:6" ht="46.5">
      <c r="A409" s="85"/>
      <c r="B409" s="75"/>
      <c r="C409" s="1" t="s">
        <v>168</v>
      </c>
      <c r="D409" s="2">
        <f>650000-197169.41</f>
        <v>452830.58999999997</v>
      </c>
      <c r="E409" s="5">
        <f>33000+419830.59</f>
        <v>452830.59</v>
      </c>
      <c r="F409" s="27">
        <f t="shared" si="7"/>
        <v>0</v>
      </c>
    </row>
    <row r="410" spans="1:6" ht="30.75">
      <c r="A410" s="85"/>
      <c r="B410" s="75"/>
      <c r="C410" s="6" t="s">
        <v>170</v>
      </c>
      <c r="D410" s="5">
        <f>785000-685000+484391.31</f>
        <v>584391.31</v>
      </c>
      <c r="E410" s="5">
        <f>41000+543391.31-1060</f>
        <v>583331.31</v>
      </c>
      <c r="F410" s="27">
        <f t="shared" si="7"/>
        <v>1060</v>
      </c>
    </row>
    <row r="411" spans="1:6" ht="46.5">
      <c r="A411" s="85"/>
      <c r="B411" s="75"/>
      <c r="C411" s="1" t="s">
        <v>167</v>
      </c>
      <c r="D411" s="2">
        <f>1400000-670043.47</f>
        <v>729956.53</v>
      </c>
      <c r="E411" s="5">
        <f>48000+681956.53</f>
        <v>729956.53</v>
      </c>
      <c r="F411" s="27">
        <f t="shared" si="7"/>
        <v>0</v>
      </c>
    </row>
    <row r="412" spans="1:6" ht="30.75">
      <c r="A412" s="85"/>
      <c r="B412" s="75"/>
      <c r="C412" s="6" t="s">
        <v>155</v>
      </c>
      <c r="D412" s="5">
        <f>634829.13+114748.15</f>
        <v>749577.28</v>
      </c>
      <c r="E412" s="5">
        <f>49000+585829.13+114748.15</f>
        <v>749577.28</v>
      </c>
      <c r="F412" s="27">
        <f t="shared" si="7"/>
        <v>0</v>
      </c>
    </row>
    <row r="413" spans="1:6" ht="30.75">
      <c r="A413" s="85"/>
      <c r="B413" s="75"/>
      <c r="C413" s="6" t="s">
        <v>612</v>
      </c>
      <c r="D413" s="5">
        <f>900000-497710.85</f>
        <v>402289.15</v>
      </c>
      <c r="E413" s="5">
        <f>30000+372289.15</f>
        <v>402289.15</v>
      </c>
      <c r="F413" s="27">
        <f t="shared" si="7"/>
        <v>0</v>
      </c>
    </row>
    <row r="414" spans="1:6" ht="30.75">
      <c r="A414" s="85"/>
      <c r="B414" s="75"/>
      <c r="C414" s="6" t="s">
        <v>613</v>
      </c>
      <c r="D414" s="5">
        <f>854105-452165.58</f>
        <v>401939.42</v>
      </c>
      <c r="E414" s="5">
        <f>30000+371939.42</f>
        <v>401939.42</v>
      </c>
      <c r="F414" s="27">
        <f t="shared" si="7"/>
        <v>0</v>
      </c>
    </row>
    <row r="415" spans="1:6" ht="46.5">
      <c r="A415" s="85"/>
      <c r="B415" s="75"/>
      <c r="C415" s="20" t="s">
        <v>164</v>
      </c>
      <c r="D415" s="5">
        <f>520000-50263.73</f>
        <v>469736.27</v>
      </c>
      <c r="E415" s="5">
        <f>32000+437736.27</f>
        <v>469736.27</v>
      </c>
      <c r="F415" s="27">
        <f t="shared" si="7"/>
        <v>0</v>
      </c>
    </row>
    <row r="416" spans="1:6" ht="46.5">
      <c r="A416" s="85"/>
      <c r="B416" s="75"/>
      <c r="C416" s="6" t="s">
        <v>165</v>
      </c>
      <c r="D416" s="5">
        <f>1580000-80228.3</f>
        <v>1499771.7</v>
      </c>
      <c r="E416" s="5">
        <f>85000+1414771.7</f>
        <v>1499771.7</v>
      </c>
      <c r="F416" s="27">
        <f t="shared" si="7"/>
        <v>0</v>
      </c>
    </row>
    <row r="417" spans="1:6" ht="36" customHeight="1">
      <c r="A417" s="85"/>
      <c r="B417" s="75"/>
      <c r="C417" s="6" t="s">
        <v>191</v>
      </c>
      <c r="D417" s="5">
        <v>445423.29</v>
      </c>
      <c r="E417" s="5">
        <f>445423.29</f>
        <v>445423.29</v>
      </c>
      <c r="F417" s="27">
        <f t="shared" si="7"/>
        <v>0</v>
      </c>
    </row>
    <row r="418" spans="1:6" ht="30.75">
      <c r="A418" s="85"/>
      <c r="B418" s="75"/>
      <c r="C418" s="6" t="s">
        <v>563</v>
      </c>
      <c r="D418" s="5">
        <f>65000+57206.06</f>
        <v>122206.06</v>
      </c>
      <c r="E418" s="5">
        <f>9244.7+50992.5+666.86</f>
        <v>60904.06</v>
      </c>
      <c r="F418" s="27">
        <f t="shared" si="7"/>
        <v>61302</v>
      </c>
    </row>
    <row r="419" spans="1:6" ht="30.75">
      <c r="A419" s="85"/>
      <c r="B419" s="75"/>
      <c r="C419" s="6" t="s">
        <v>190</v>
      </c>
      <c r="D419" s="5">
        <f>69510-62873.48</f>
        <v>6636.519999999997</v>
      </c>
      <c r="E419" s="5">
        <f>6636.52</f>
        <v>6636.52</v>
      </c>
      <c r="F419" s="27">
        <f t="shared" si="7"/>
        <v>0</v>
      </c>
    </row>
    <row r="420" spans="1:6" ht="37.5" customHeight="1">
      <c r="A420" s="85"/>
      <c r="B420" s="75"/>
      <c r="C420" s="6" t="s">
        <v>195</v>
      </c>
      <c r="D420" s="5">
        <f>100000+12544.03</f>
        <v>112544.03</v>
      </c>
      <c r="E420" s="5">
        <f>8823.97+87363+1129.06</f>
        <v>97316.03</v>
      </c>
      <c r="F420" s="27">
        <f t="shared" si="7"/>
        <v>15228</v>
      </c>
    </row>
    <row r="421" spans="1:6" ht="37.5" customHeight="1">
      <c r="A421" s="85"/>
      <c r="B421" s="75"/>
      <c r="C421" s="6" t="s">
        <v>651</v>
      </c>
      <c r="D421" s="5">
        <v>130000</v>
      </c>
      <c r="E421" s="5"/>
      <c r="F421" s="27">
        <f t="shared" si="7"/>
        <v>130000</v>
      </c>
    </row>
    <row r="422" spans="1:6" ht="30.75">
      <c r="A422" s="85"/>
      <c r="B422" s="75"/>
      <c r="C422" s="6" t="s">
        <v>194</v>
      </c>
      <c r="D422" s="5">
        <v>100000</v>
      </c>
      <c r="E422" s="5">
        <f>7765.43+74096+962.44+7993.88</f>
        <v>90817.75</v>
      </c>
      <c r="F422" s="27">
        <f t="shared" si="7"/>
        <v>9182.25</v>
      </c>
    </row>
    <row r="423" spans="1:6" ht="30.75">
      <c r="A423" s="85"/>
      <c r="B423" s="75"/>
      <c r="C423" s="6" t="s">
        <v>192</v>
      </c>
      <c r="D423" s="5">
        <f>75000+9500+29553.87</f>
        <v>114053.87</v>
      </c>
      <c r="E423" s="5">
        <f>4934.29+69210.2+770</f>
        <v>74914.48999999999</v>
      </c>
      <c r="F423" s="27">
        <f t="shared" si="7"/>
        <v>39139.380000000005</v>
      </c>
    </row>
    <row r="424" spans="1:6" ht="30.75">
      <c r="A424" s="85"/>
      <c r="B424" s="75"/>
      <c r="C424" s="6" t="s">
        <v>184</v>
      </c>
      <c r="D424" s="5">
        <f>75000-63000</f>
        <v>12000</v>
      </c>
      <c r="E424" s="5">
        <v>11304.16</v>
      </c>
      <c r="F424" s="27">
        <f t="shared" si="7"/>
        <v>695.8400000000001</v>
      </c>
    </row>
    <row r="425" spans="1:6" ht="30.75">
      <c r="A425" s="85"/>
      <c r="B425" s="75"/>
      <c r="C425" s="6" t="s">
        <v>181</v>
      </c>
      <c r="D425" s="5">
        <f>75000-64000</f>
        <v>11000</v>
      </c>
      <c r="E425" s="5">
        <v>10238.37</v>
      </c>
      <c r="F425" s="27">
        <f t="shared" si="7"/>
        <v>761.6299999999992</v>
      </c>
    </row>
    <row r="426" spans="1:6" ht="30.75">
      <c r="A426" s="85"/>
      <c r="B426" s="75"/>
      <c r="C426" s="6" t="s">
        <v>187</v>
      </c>
      <c r="D426" s="5">
        <f>75000+32000+30383.84</f>
        <v>137383.84</v>
      </c>
      <c r="E426" s="5">
        <f>9459.16</f>
        <v>9459.16</v>
      </c>
      <c r="F426" s="27">
        <f aca="true" t="shared" si="8" ref="F426:F487">D426-E426</f>
        <v>127924.68</v>
      </c>
    </row>
    <row r="427" spans="1:6" ht="30.75">
      <c r="A427" s="85"/>
      <c r="B427" s="75"/>
      <c r="C427" s="6" t="s">
        <v>564</v>
      </c>
      <c r="D427" s="5">
        <f>55000+64934.63</f>
        <v>119934.63</v>
      </c>
      <c r="E427" s="5">
        <f>9058.99+41563+526.06+61312.25</f>
        <v>112460.29999999999</v>
      </c>
      <c r="F427" s="27">
        <f t="shared" si="8"/>
        <v>7474.330000000016</v>
      </c>
    </row>
    <row r="428" spans="1:6" ht="30.75">
      <c r="A428" s="85"/>
      <c r="B428" s="75"/>
      <c r="C428" s="6" t="s">
        <v>175</v>
      </c>
      <c r="D428" s="5">
        <f>75000-64000</f>
        <v>11000</v>
      </c>
      <c r="E428" s="5">
        <f>10238.37</f>
        <v>10238.37</v>
      </c>
      <c r="F428" s="27">
        <f t="shared" si="8"/>
        <v>761.6299999999992</v>
      </c>
    </row>
    <row r="429" spans="1:6" ht="30.75">
      <c r="A429" s="85"/>
      <c r="B429" s="75"/>
      <c r="C429" s="6" t="s">
        <v>186</v>
      </c>
      <c r="D429" s="5">
        <f>75000+20000+15038.85</f>
        <v>110038.85</v>
      </c>
      <c r="E429" s="5">
        <f>8548.58+55898+720.27</f>
        <v>65166.85</v>
      </c>
      <c r="F429" s="27">
        <f t="shared" si="8"/>
        <v>44872.00000000001</v>
      </c>
    </row>
    <row r="430" spans="1:6" ht="30.75">
      <c r="A430" s="85"/>
      <c r="B430" s="75"/>
      <c r="C430" s="6" t="s">
        <v>177</v>
      </c>
      <c r="D430" s="5">
        <f>75000+20000+15038.66</f>
        <v>110038.66</v>
      </c>
      <c r="E430" s="5">
        <f>8548.58</f>
        <v>8548.58</v>
      </c>
      <c r="F430" s="27">
        <f t="shared" si="8"/>
        <v>101490.08</v>
      </c>
    </row>
    <row r="431" spans="1:6" ht="30.75">
      <c r="A431" s="85"/>
      <c r="B431" s="75"/>
      <c r="C431" s="6" t="s">
        <v>188</v>
      </c>
      <c r="D431" s="5">
        <f>75000+20000+15038.85</f>
        <v>110038.85</v>
      </c>
      <c r="E431" s="5">
        <f>8545.58+3+55898+720.27</f>
        <v>65166.85</v>
      </c>
      <c r="F431" s="27">
        <f t="shared" si="8"/>
        <v>44872.00000000001</v>
      </c>
    </row>
    <row r="432" spans="1:6" ht="33.75" customHeight="1">
      <c r="A432" s="85"/>
      <c r="B432" s="75"/>
      <c r="C432" s="6" t="s">
        <v>179</v>
      </c>
      <c r="D432" s="5">
        <f>75000-60500</f>
        <v>14500</v>
      </c>
      <c r="E432" s="5">
        <v>14223.16</v>
      </c>
      <c r="F432" s="27">
        <f t="shared" si="8"/>
        <v>276.84000000000015</v>
      </c>
    </row>
    <row r="433" spans="1:6" ht="30.75">
      <c r="A433" s="85"/>
      <c r="B433" s="75"/>
      <c r="C433" s="6" t="s">
        <v>182</v>
      </c>
      <c r="D433" s="5">
        <f>75000-64100</f>
        <v>10900</v>
      </c>
      <c r="E433" s="5">
        <v>10873.74</v>
      </c>
      <c r="F433" s="27">
        <f t="shared" si="8"/>
        <v>26.26000000000022</v>
      </c>
    </row>
    <row r="434" spans="1:6" ht="30.75">
      <c r="A434" s="85"/>
      <c r="B434" s="75"/>
      <c r="C434" s="6" t="s">
        <v>183</v>
      </c>
      <c r="D434" s="5">
        <f>75000+32000+30385.43</f>
        <v>137385.43</v>
      </c>
      <c r="E434" s="5">
        <f>9459.16+62723+809.27</f>
        <v>72991.43000000001</v>
      </c>
      <c r="F434" s="27">
        <f t="shared" si="8"/>
        <v>64393.999999999985</v>
      </c>
    </row>
    <row r="435" spans="1:6" ht="30.75">
      <c r="A435" s="85"/>
      <c r="B435" s="75"/>
      <c r="C435" s="6" t="s">
        <v>193</v>
      </c>
      <c r="D435" s="5">
        <v>100000</v>
      </c>
      <c r="E435" s="5">
        <f>8061.7+81477+1048.47+5149.55</f>
        <v>95736.72</v>
      </c>
      <c r="F435" s="27">
        <f t="shared" si="8"/>
        <v>4263.279999999999</v>
      </c>
    </row>
    <row r="436" spans="1:6" ht="30.75">
      <c r="A436" s="85"/>
      <c r="B436" s="75"/>
      <c r="C436" s="6" t="s">
        <v>185</v>
      </c>
      <c r="D436" s="5">
        <f>75000-64100</f>
        <v>10900</v>
      </c>
      <c r="E436" s="5">
        <v>10873.74</v>
      </c>
      <c r="F436" s="27">
        <f t="shared" si="8"/>
        <v>26.26000000000022</v>
      </c>
    </row>
    <row r="437" spans="1:6" ht="30.75">
      <c r="A437" s="85"/>
      <c r="B437" s="75"/>
      <c r="C437" s="6" t="s">
        <v>178</v>
      </c>
      <c r="D437" s="5">
        <f>75000-62500</f>
        <v>12500</v>
      </c>
      <c r="E437" s="5">
        <v>12473.84</v>
      </c>
      <c r="F437" s="27">
        <f t="shared" si="8"/>
        <v>26.159999999999854</v>
      </c>
    </row>
    <row r="438" spans="1:6" ht="30.75">
      <c r="A438" s="85"/>
      <c r="B438" s="75"/>
      <c r="C438" s="6" t="s">
        <v>534</v>
      </c>
      <c r="D438" s="5">
        <f>75000-62500</f>
        <v>12500</v>
      </c>
      <c r="E438" s="5">
        <v>12473.84</v>
      </c>
      <c r="F438" s="27">
        <f t="shared" si="8"/>
        <v>26.159999999999854</v>
      </c>
    </row>
    <row r="439" spans="1:6" ht="30.75">
      <c r="A439" s="85"/>
      <c r="B439" s="75"/>
      <c r="C439" s="6" t="s">
        <v>636</v>
      </c>
      <c r="D439" s="5">
        <f>75000-75000</f>
        <v>0</v>
      </c>
      <c r="E439" s="5"/>
      <c r="F439" s="27">
        <f t="shared" si="8"/>
        <v>0</v>
      </c>
    </row>
    <row r="440" spans="1:6" ht="30.75">
      <c r="A440" s="85"/>
      <c r="B440" s="75"/>
      <c r="C440" s="6" t="s">
        <v>176</v>
      </c>
      <c r="D440" s="5">
        <f>75000+32000+30203.84</f>
        <v>137203.84</v>
      </c>
      <c r="E440" s="5">
        <f>9459.16</f>
        <v>9459.16</v>
      </c>
      <c r="F440" s="27">
        <f t="shared" si="8"/>
        <v>127744.68</v>
      </c>
    </row>
    <row r="441" spans="1:6" ht="30.75">
      <c r="A441" s="85"/>
      <c r="B441" s="75"/>
      <c r="C441" s="6" t="s">
        <v>180</v>
      </c>
      <c r="D441" s="5">
        <f>75000+20000+15040.14</f>
        <v>110040.14</v>
      </c>
      <c r="E441" s="5">
        <f>8548.58+65826+849.56</f>
        <v>75224.14</v>
      </c>
      <c r="F441" s="27">
        <f t="shared" si="8"/>
        <v>34816</v>
      </c>
    </row>
    <row r="442" spans="1:6" ht="30.75">
      <c r="A442" s="85"/>
      <c r="B442" s="75"/>
      <c r="C442" s="6" t="s">
        <v>197</v>
      </c>
      <c r="D442" s="5">
        <f>854039.56+450000+51683-697266.23-49031.86</f>
        <v>609424.4700000001</v>
      </c>
      <c r="E442" s="5"/>
      <c r="F442" s="27">
        <f t="shared" si="8"/>
        <v>609424.4700000001</v>
      </c>
    </row>
    <row r="443" spans="1:6" ht="15">
      <c r="A443" s="85" t="s">
        <v>70</v>
      </c>
      <c r="B443" s="75" t="s">
        <v>535</v>
      </c>
      <c r="C443" s="1"/>
      <c r="D443" s="4">
        <f>D444</f>
        <v>500000</v>
      </c>
      <c r="E443" s="4">
        <f>E444</f>
        <v>0</v>
      </c>
      <c r="F443" s="27">
        <f t="shared" si="8"/>
        <v>500000</v>
      </c>
    </row>
    <row r="444" spans="1:6" ht="15">
      <c r="A444" s="85"/>
      <c r="B444" s="75"/>
      <c r="C444" s="1" t="s">
        <v>762</v>
      </c>
      <c r="D444" s="2">
        <f>500000</f>
        <v>500000</v>
      </c>
      <c r="E444" s="5"/>
      <c r="F444" s="27">
        <f t="shared" si="8"/>
        <v>500000</v>
      </c>
    </row>
    <row r="445" spans="1:6" ht="15">
      <c r="A445" s="75">
        <v>1217363</v>
      </c>
      <c r="B445" s="75" t="s">
        <v>44</v>
      </c>
      <c r="C445" s="1"/>
      <c r="D445" s="4">
        <f>D446</f>
        <v>39643</v>
      </c>
      <c r="E445" s="4">
        <f>E446</f>
        <v>0</v>
      </c>
      <c r="F445" s="27">
        <f t="shared" si="8"/>
        <v>39643</v>
      </c>
    </row>
    <row r="446" spans="1:6" ht="46.5">
      <c r="A446" s="75"/>
      <c r="B446" s="75"/>
      <c r="C446" s="1" t="s">
        <v>637</v>
      </c>
      <c r="D446" s="2">
        <f>39643-38488.35+38488.35</f>
        <v>39643</v>
      </c>
      <c r="E446" s="5"/>
      <c r="F446" s="27">
        <f t="shared" si="8"/>
        <v>39643</v>
      </c>
    </row>
    <row r="447" spans="1:6" ht="15">
      <c r="A447" s="74" t="s">
        <v>71</v>
      </c>
      <c r="B447" s="82" t="s">
        <v>72</v>
      </c>
      <c r="C447" s="37"/>
      <c r="D447" s="4">
        <f>SUM(D448:D504)</f>
        <v>54142664.27999999</v>
      </c>
      <c r="E447" s="4">
        <f>SUM(E448:E504)</f>
        <v>37030365.29000001</v>
      </c>
      <c r="F447" s="27">
        <f t="shared" si="8"/>
        <v>17112298.98999998</v>
      </c>
    </row>
    <row r="448" spans="1:6" ht="30.75">
      <c r="A448" s="74"/>
      <c r="B448" s="82"/>
      <c r="C448" s="1" t="s">
        <v>218</v>
      </c>
      <c r="D448" s="2">
        <f>1154000+138423</f>
        <v>1292423</v>
      </c>
      <c r="E448" s="5">
        <f>9000+1120577.78</f>
        <v>1129577.78</v>
      </c>
      <c r="F448" s="27">
        <f t="shared" si="8"/>
        <v>162845.21999999997</v>
      </c>
    </row>
    <row r="449" spans="1:6" ht="30.75">
      <c r="A449" s="74"/>
      <c r="B449" s="82"/>
      <c r="C449" s="23" t="s">
        <v>239</v>
      </c>
      <c r="D449" s="5">
        <f>1400000-621947</f>
        <v>778053</v>
      </c>
      <c r="E449" s="5">
        <f>69600+625045.69</f>
        <v>694645.69</v>
      </c>
      <c r="F449" s="27">
        <f t="shared" si="8"/>
        <v>83407.31000000006</v>
      </c>
    </row>
    <row r="450" spans="1:6" ht="30.75">
      <c r="A450" s="74"/>
      <c r="B450" s="82"/>
      <c r="C450" s="6" t="s">
        <v>213</v>
      </c>
      <c r="D450" s="5">
        <f>1500000+94168</f>
        <v>1594168</v>
      </c>
      <c r="E450" s="5">
        <f>103000+991794+358168.8</f>
        <v>1452962.8</v>
      </c>
      <c r="F450" s="27">
        <f t="shared" si="8"/>
        <v>141205.19999999995</v>
      </c>
    </row>
    <row r="451" spans="1:6" ht="62.25">
      <c r="A451" s="74"/>
      <c r="B451" s="82"/>
      <c r="C451" s="23" t="s">
        <v>556</v>
      </c>
      <c r="D451" s="5">
        <f>1500000-413973.27</f>
        <v>1086026.73</v>
      </c>
      <c r="E451" s="5">
        <f>71134.73+667555.8</f>
        <v>738690.53</v>
      </c>
      <c r="F451" s="27">
        <f t="shared" si="8"/>
        <v>347336.19999999995</v>
      </c>
    </row>
    <row r="452" spans="1:6" ht="30.75">
      <c r="A452" s="74"/>
      <c r="B452" s="82"/>
      <c r="C452" s="1" t="s">
        <v>536</v>
      </c>
      <c r="D452" s="2">
        <v>1490000</v>
      </c>
      <c r="E452" s="5">
        <f>70965+887917.82</f>
        <v>958882.82</v>
      </c>
      <c r="F452" s="27">
        <f t="shared" si="8"/>
        <v>531117.18</v>
      </c>
    </row>
    <row r="453" spans="1:6" ht="30.75">
      <c r="A453" s="74"/>
      <c r="B453" s="82"/>
      <c r="C453" s="24" t="s">
        <v>212</v>
      </c>
      <c r="D453" s="5">
        <v>1490000</v>
      </c>
      <c r="E453" s="5">
        <v>70965</v>
      </c>
      <c r="F453" s="27">
        <f t="shared" si="8"/>
        <v>1419035</v>
      </c>
    </row>
    <row r="454" spans="1:6" ht="46.5">
      <c r="A454" s="74"/>
      <c r="B454" s="82"/>
      <c r="C454" s="6" t="s">
        <v>207</v>
      </c>
      <c r="D454" s="50">
        <f>656000-646000+544145</f>
        <v>554145</v>
      </c>
      <c r="E454" s="5">
        <f>27854</f>
        <v>27854</v>
      </c>
      <c r="F454" s="27">
        <f t="shared" si="8"/>
        <v>526291</v>
      </c>
    </row>
    <row r="455" spans="1:6" ht="46.5">
      <c r="A455" s="74"/>
      <c r="B455" s="82"/>
      <c r="C455" s="6" t="s">
        <v>210</v>
      </c>
      <c r="D455" s="50">
        <f>1181000+324589.19</f>
        <v>1505589.19</v>
      </c>
      <c r="E455" s="5">
        <f>84597+686176.19+7776.15+128377.84+475432.81</f>
        <v>1382359.99</v>
      </c>
      <c r="F455" s="27">
        <f t="shared" si="8"/>
        <v>123229.19999999995</v>
      </c>
    </row>
    <row r="456" spans="1:6" ht="30.75">
      <c r="A456" s="74"/>
      <c r="B456" s="82"/>
      <c r="C456" s="6" t="s">
        <v>232</v>
      </c>
      <c r="D456" s="5">
        <f>161206-14414.8</f>
        <v>146791.2</v>
      </c>
      <c r="E456" s="5">
        <f>134338.8</f>
        <v>134338.8</v>
      </c>
      <c r="F456" s="27">
        <f t="shared" si="8"/>
        <v>12452.400000000023</v>
      </c>
    </row>
    <row r="457" spans="1:6" ht="30.75">
      <c r="A457" s="74"/>
      <c r="B457" s="82"/>
      <c r="C457" s="6" t="s">
        <v>215</v>
      </c>
      <c r="D457" s="5">
        <f>280000+63620.67</f>
        <v>343620.67</v>
      </c>
      <c r="E457" s="5">
        <f>36000+304885.04</f>
        <v>340885.04</v>
      </c>
      <c r="F457" s="27">
        <f t="shared" si="8"/>
        <v>2735.6300000000047</v>
      </c>
    </row>
    <row r="458" spans="1:6" ht="30.75">
      <c r="A458" s="74"/>
      <c r="B458" s="82"/>
      <c r="C458" s="6" t="s">
        <v>216</v>
      </c>
      <c r="D458" s="5">
        <f>500000-192947.38</f>
        <v>307052.62</v>
      </c>
      <c r="E458" s="5">
        <f>32000+268071.08</f>
        <v>300071.08</v>
      </c>
      <c r="F458" s="27">
        <f t="shared" si="8"/>
        <v>6981.539999999979</v>
      </c>
    </row>
    <row r="459" spans="1:6" ht="30.75">
      <c r="A459" s="74"/>
      <c r="B459" s="82"/>
      <c r="C459" s="6" t="s">
        <v>217</v>
      </c>
      <c r="D459" s="5">
        <f>100000+154674.78</f>
        <v>254674.78</v>
      </c>
      <c r="E459" s="5">
        <v>26000</v>
      </c>
      <c r="F459" s="27">
        <f t="shared" si="8"/>
        <v>228674.78</v>
      </c>
    </row>
    <row r="460" spans="1:6" ht="30.75">
      <c r="A460" s="74"/>
      <c r="B460" s="82"/>
      <c r="C460" s="6" t="s">
        <v>537</v>
      </c>
      <c r="D460" s="5">
        <v>30272.94</v>
      </c>
      <c r="E460" s="5"/>
      <c r="F460" s="27">
        <f t="shared" si="8"/>
        <v>30272.94</v>
      </c>
    </row>
    <row r="461" spans="1:6" ht="30.75">
      <c r="A461" s="74"/>
      <c r="B461" s="82"/>
      <c r="C461" s="6" t="s">
        <v>538</v>
      </c>
      <c r="D461" s="5">
        <v>60000</v>
      </c>
      <c r="E461" s="5"/>
      <c r="F461" s="27">
        <f t="shared" si="8"/>
        <v>60000</v>
      </c>
    </row>
    <row r="462" spans="1:6" ht="46.5">
      <c r="A462" s="74"/>
      <c r="B462" s="82"/>
      <c r="C462" s="1" t="s">
        <v>211</v>
      </c>
      <c r="D462" s="2">
        <v>1490000</v>
      </c>
      <c r="E462" s="5">
        <v>70965</v>
      </c>
      <c r="F462" s="27">
        <f t="shared" si="8"/>
        <v>1419035</v>
      </c>
    </row>
    <row r="463" spans="1:6" ht="30.75">
      <c r="A463" s="74"/>
      <c r="B463" s="82"/>
      <c r="C463" s="20" t="s">
        <v>201</v>
      </c>
      <c r="D463" s="5">
        <f>600000+650081</f>
        <v>1250081</v>
      </c>
      <c r="E463" s="5">
        <f>80000+507668+435813</f>
        <v>1023481</v>
      </c>
      <c r="F463" s="27">
        <f t="shared" si="8"/>
        <v>226600</v>
      </c>
    </row>
    <row r="464" spans="1:6" ht="30.75">
      <c r="A464" s="74"/>
      <c r="B464" s="82"/>
      <c r="C464" s="6" t="s">
        <v>227</v>
      </c>
      <c r="D464" s="2">
        <f>535175.6+14242</f>
        <v>549417.6</v>
      </c>
      <c r="E464" s="5">
        <f>338320</f>
        <v>338320</v>
      </c>
      <c r="F464" s="27">
        <f t="shared" si="8"/>
        <v>211097.59999999998</v>
      </c>
    </row>
    <row r="465" spans="1:6" ht="30.75">
      <c r="A465" s="74"/>
      <c r="B465" s="82"/>
      <c r="C465" s="1" t="s">
        <v>558</v>
      </c>
      <c r="D465" s="2">
        <f>425000+387887.2+275790.8</f>
        <v>1088678</v>
      </c>
      <c r="E465" s="5">
        <f>551794+249206</f>
        <v>801000</v>
      </c>
      <c r="F465" s="27">
        <f t="shared" si="8"/>
        <v>287678</v>
      </c>
    </row>
    <row r="466" spans="1:6" ht="30.75">
      <c r="A466" s="74"/>
      <c r="B466" s="82"/>
      <c r="C466" s="1" t="s">
        <v>559</v>
      </c>
      <c r="D466" s="2">
        <f>425000+447194.8+65605.2</f>
        <v>937800</v>
      </c>
      <c r="E466" s="5">
        <f>336585+475611</f>
        <v>812196</v>
      </c>
      <c r="F466" s="27">
        <f t="shared" si="8"/>
        <v>125604</v>
      </c>
    </row>
    <row r="467" spans="1:6" ht="30.75">
      <c r="A467" s="74"/>
      <c r="B467" s="82"/>
      <c r="C467" s="20" t="s">
        <v>221</v>
      </c>
      <c r="D467" s="2">
        <v>163736</v>
      </c>
      <c r="E467" s="5">
        <f>40747.14</f>
        <v>40747.14</v>
      </c>
      <c r="F467" s="27">
        <f t="shared" si="8"/>
        <v>122988.86</v>
      </c>
    </row>
    <row r="468" spans="1:6" ht="30.75">
      <c r="A468" s="74"/>
      <c r="B468" s="82"/>
      <c r="C468" s="6" t="s">
        <v>222</v>
      </c>
      <c r="D468" s="5">
        <v>262000</v>
      </c>
      <c r="E468" s="5">
        <f>49643.15</f>
        <v>49643.15</v>
      </c>
      <c r="F468" s="27">
        <f t="shared" si="8"/>
        <v>212356.85</v>
      </c>
    </row>
    <row r="469" spans="1:6" ht="53.25" customHeight="1">
      <c r="A469" s="74"/>
      <c r="B469" s="82"/>
      <c r="C469" s="1" t="s">
        <v>206</v>
      </c>
      <c r="D469" s="2">
        <f>1250000-1130000+1022326.56</f>
        <v>1142326.56</v>
      </c>
      <c r="E469" s="5">
        <f>69423</f>
        <v>69423</v>
      </c>
      <c r="F469" s="27">
        <f t="shared" si="8"/>
        <v>1072903.56</v>
      </c>
    </row>
    <row r="470" spans="1:6" ht="30.75">
      <c r="A470" s="74"/>
      <c r="B470" s="82"/>
      <c r="C470" s="6" t="s">
        <v>230</v>
      </c>
      <c r="D470" s="5">
        <f>248321.41-176065.49</f>
        <v>72255.92000000001</v>
      </c>
      <c r="E470" s="5">
        <f>61079.6+11176</f>
        <v>72255.6</v>
      </c>
      <c r="F470" s="27">
        <f t="shared" si="8"/>
        <v>0.3200000000069849</v>
      </c>
    </row>
    <row r="471" spans="1:6" ht="30.75">
      <c r="A471" s="74"/>
      <c r="B471" s="82"/>
      <c r="C471" s="6" t="s">
        <v>552</v>
      </c>
      <c r="D471" s="5">
        <f>1700000-171749.52</f>
        <v>1528250.48</v>
      </c>
      <c r="E471" s="5">
        <f>103000+759528.71+405435.82+230269.14</f>
        <v>1498233.67</v>
      </c>
      <c r="F471" s="27">
        <f t="shared" si="8"/>
        <v>30016.810000000056</v>
      </c>
    </row>
    <row r="472" spans="1:6" ht="30.75">
      <c r="A472" s="74"/>
      <c r="B472" s="82"/>
      <c r="C472" s="1" t="s">
        <v>639</v>
      </c>
      <c r="D472" s="2">
        <f>1500000-1400000-7000</f>
        <v>93000</v>
      </c>
      <c r="E472" s="5">
        <v>93000</v>
      </c>
      <c r="F472" s="27">
        <f t="shared" si="8"/>
        <v>0</v>
      </c>
    </row>
    <row r="473" spans="1:6" ht="30.75">
      <c r="A473" s="74"/>
      <c r="B473" s="82"/>
      <c r="C473" s="1" t="s">
        <v>638</v>
      </c>
      <c r="D473" s="2">
        <f>900000+679872.34</f>
        <v>1579872.3399999999</v>
      </c>
      <c r="E473" s="5">
        <f>79528+475544.54+4620.86+323837.68+111763.14+295021.03</f>
        <v>1290315.25</v>
      </c>
      <c r="F473" s="27">
        <f t="shared" si="8"/>
        <v>289557.08999999985</v>
      </c>
    </row>
    <row r="474" spans="1:6" ht="30.75">
      <c r="A474" s="74"/>
      <c r="B474" s="82"/>
      <c r="C474" s="1" t="s">
        <v>204</v>
      </c>
      <c r="D474" s="2">
        <v>1490000</v>
      </c>
      <c r="E474" s="5">
        <f>83464+900000+7223+306934</f>
        <v>1297621</v>
      </c>
      <c r="F474" s="27">
        <f t="shared" si="8"/>
        <v>192379</v>
      </c>
    </row>
    <row r="475" spans="1:6" ht="30.75">
      <c r="A475" s="74"/>
      <c r="B475" s="82"/>
      <c r="C475" s="6" t="s">
        <v>240</v>
      </c>
      <c r="D475" s="5">
        <f>365279-53561+180745.4</f>
        <v>492463.4</v>
      </c>
      <c r="E475" s="5">
        <f>302826+180745.4</f>
        <v>483571.4</v>
      </c>
      <c r="F475" s="27">
        <f t="shared" si="8"/>
        <v>8892</v>
      </c>
    </row>
    <row r="476" spans="1:6" ht="30.75">
      <c r="A476" s="74"/>
      <c r="B476" s="82"/>
      <c r="C476" s="1" t="s">
        <v>198</v>
      </c>
      <c r="D476" s="2">
        <f>800000+768097</f>
        <v>1568097</v>
      </c>
      <c r="E476" s="5">
        <f>103000+571275.13+858580.05</f>
        <v>1532855.1800000002</v>
      </c>
      <c r="F476" s="27">
        <f t="shared" si="8"/>
        <v>35241.81999999983</v>
      </c>
    </row>
    <row r="477" spans="1:6" ht="30.75">
      <c r="A477" s="74"/>
      <c r="B477" s="82"/>
      <c r="C477" s="6" t="s">
        <v>539</v>
      </c>
      <c r="D477" s="5">
        <f>760000+674005</f>
        <v>1434005</v>
      </c>
      <c r="E477" s="5">
        <f>88000+539674</f>
        <v>627674</v>
      </c>
      <c r="F477" s="27">
        <f t="shared" si="8"/>
        <v>806331</v>
      </c>
    </row>
    <row r="478" spans="1:6" ht="30.75">
      <c r="A478" s="74"/>
      <c r="B478" s="82"/>
      <c r="C478" s="6" t="s">
        <v>214</v>
      </c>
      <c r="D478" s="5">
        <f>450000+258952</f>
        <v>708952</v>
      </c>
      <c r="E478" s="5">
        <f>60000+383218.19+258951.38-1182.63</f>
        <v>700986.9400000001</v>
      </c>
      <c r="F478" s="27">
        <f t="shared" si="8"/>
        <v>7965.0599999999395</v>
      </c>
    </row>
    <row r="479" spans="1:6" ht="30.75">
      <c r="A479" s="74"/>
      <c r="B479" s="82"/>
      <c r="C479" s="6" t="s">
        <v>208</v>
      </c>
      <c r="D479" s="50">
        <f>537000-527000+20777</f>
        <v>30777</v>
      </c>
      <c r="E479" s="5">
        <f>30777</f>
        <v>30777</v>
      </c>
      <c r="F479" s="27">
        <f t="shared" si="8"/>
        <v>0</v>
      </c>
    </row>
    <row r="480" spans="1:6" ht="30.75">
      <c r="A480" s="74"/>
      <c r="B480" s="82"/>
      <c r="C480" s="6" t="s">
        <v>228</v>
      </c>
      <c r="D480" s="2">
        <f>1384000-120156.56</f>
        <v>1263843.44</v>
      </c>
      <c r="E480" s="5">
        <f>677085.7+446454.8</f>
        <v>1123540.5</v>
      </c>
      <c r="F480" s="27">
        <f t="shared" si="8"/>
        <v>140302.93999999994</v>
      </c>
    </row>
    <row r="481" spans="1:6" ht="30.75" customHeight="1" hidden="1">
      <c r="A481" s="74"/>
      <c r="B481" s="82"/>
      <c r="C481" s="6" t="s">
        <v>231</v>
      </c>
      <c r="D481" s="5">
        <f>37043-37043</f>
        <v>0</v>
      </c>
      <c r="E481" s="5"/>
      <c r="F481" s="27">
        <f t="shared" si="8"/>
        <v>0</v>
      </c>
    </row>
    <row r="482" spans="1:6" ht="30.75">
      <c r="A482" s="74"/>
      <c r="B482" s="82"/>
      <c r="C482" s="6" t="s">
        <v>209</v>
      </c>
      <c r="D482" s="50">
        <f>1480000-1360000+1468051.58</f>
        <v>1588051.58</v>
      </c>
      <c r="E482" s="5">
        <f>87660</f>
        <v>87660</v>
      </c>
      <c r="F482" s="27">
        <f t="shared" si="8"/>
        <v>1500391.58</v>
      </c>
    </row>
    <row r="483" spans="1:6" ht="30.75">
      <c r="A483" s="74"/>
      <c r="B483" s="82"/>
      <c r="C483" s="20" t="s">
        <v>203</v>
      </c>
      <c r="D483" s="5">
        <f>1490000-46969.9</f>
        <v>1443030.1</v>
      </c>
      <c r="E483" s="5">
        <f>7500+1394901.08</f>
        <v>1402401.08</v>
      </c>
      <c r="F483" s="27">
        <f t="shared" si="8"/>
        <v>40629.02000000002</v>
      </c>
    </row>
    <row r="484" spans="1:6" ht="30.75">
      <c r="A484" s="74"/>
      <c r="B484" s="82"/>
      <c r="C484" s="6" t="s">
        <v>241</v>
      </c>
      <c r="D484" s="5">
        <f>363531+1878+198289.2</f>
        <v>563698.2</v>
      </c>
      <c r="E484" s="5">
        <f>356469+198289.2</f>
        <v>554758.2</v>
      </c>
      <c r="F484" s="27">
        <f t="shared" si="8"/>
        <v>8940</v>
      </c>
    </row>
    <row r="485" spans="1:6" ht="30.75">
      <c r="A485" s="74"/>
      <c r="B485" s="82"/>
      <c r="C485" s="6" t="s">
        <v>224</v>
      </c>
      <c r="D485" s="5">
        <f>283000+707439.2-10649.2</f>
        <v>979790</v>
      </c>
      <c r="E485" s="5">
        <f>465156+505606-2787</f>
        <v>967975</v>
      </c>
      <c r="F485" s="27">
        <f t="shared" si="8"/>
        <v>11815</v>
      </c>
    </row>
    <row r="486" spans="1:6" ht="15">
      <c r="A486" s="74"/>
      <c r="B486" s="82"/>
      <c r="C486" s="6" t="s">
        <v>199</v>
      </c>
      <c r="D486" s="5">
        <f>700000-350000+314016.96-108500</f>
        <v>555516.96</v>
      </c>
      <c r="E486" s="5">
        <f>60000+495516.96</f>
        <v>555516.96</v>
      </c>
      <c r="F486" s="27">
        <f t="shared" si="8"/>
        <v>0</v>
      </c>
    </row>
    <row r="487" spans="1:6" ht="15">
      <c r="A487" s="74"/>
      <c r="B487" s="82"/>
      <c r="C487" s="6" t="s">
        <v>223</v>
      </c>
      <c r="D487" s="5">
        <f>918000+53238.81+124043.19</f>
        <v>1095282</v>
      </c>
      <c r="E487" s="5">
        <f>521110+419156</f>
        <v>940266</v>
      </c>
      <c r="F487" s="27">
        <f t="shared" si="8"/>
        <v>155016</v>
      </c>
    </row>
    <row r="488" spans="1:6" ht="15">
      <c r="A488" s="74"/>
      <c r="B488" s="82"/>
      <c r="C488" s="23" t="s">
        <v>205</v>
      </c>
      <c r="D488" s="5">
        <f>700000-52547.76</f>
        <v>647452.24</v>
      </c>
      <c r="E488" s="5">
        <f>631827.24+15625</f>
        <v>647452.24</v>
      </c>
      <c r="F488" s="27">
        <f aca="true" t="shared" si="9" ref="F488:F534">D488-E488</f>
        <v>0</v>
      </c>
    </row>
    <row r="489" spans="1:6" ht="46.5">
      <c r="A489" s="74"/>
      <c r="B489" s="82"/>
      <c r="C489" s="6" t="s">
        <v>233</v>
      </c>
      <c r="D489" s="5">
        <v>3442224</v>
      </c>
      <c r="E489" s="5">
        <f>2337604</f>
        <v>2337604</v>
      </c>
      <c r="F489" s="27">
        <f t="shared" si="9"/>
        <v>1104620</v>
      </c>
    </row>
    <row r="490" spans="1:6" ht="15">
      <c r="A490" s="74"/>
      <c r="B490" s="82"/>
      <c r="C490" s="31" t="s">
        <v>200</v>
      </c>
      <c r="D490" s="5">
        <f>1000000-500000+500000-67699.77</f>
        <v>932300.23</v>
      </c>
      <c r="E490" s="5">
        <f>78000+852679.24</f>
        <v>930679.24</v>
      </c>
      <c r="F490" s="27">
        <f t="shared" si="9"/>
        <v>1620.9899999999907</v>
      </c>
    </row>
    <row r="491" spans="1:6" ht="46.5">
      <c r="A491" s="74"/>
      <c r="B491" s="82"/>
      <c r="C491" s="6" t="s">
        <v>234</v>
      </c>
      <c r="D491" s="5">
        <v>134745</v>
      </c>
      <c r="E491" s="5"/>
      <c r="F491" s="27">
        <f t="shared" si="9"/>
        <v>134745</v>
      </c>
    </row>
    <row r="492" spans="1:6" ht="30.75">
      <c r="A492" s="74"/>
      <c r="B492" s="82"/>
      <c r="C492" s="23" t="s">
        <v>242</v>
      </c>
      <c r="D492" s="5">
        <f>1300000-600000-500000+176199.77</f>
        <v>376199.77</v>
      </c>
      <c r="E492" s="5">
        <v>80000</v>
      </c>
      <c r="F492" s="27">
        <f t="shared" si="9"/>
        <v>296199.77</v>
      </c>
    </row>
    <row r="493" spans="1:6" ht="30.75">
      <c r="A493" s="74"/>
      <c r="B493" s="82"/>
      <c r="C493" s="6" t="s">
        <v>235</v>
      </c>
      <c r="D493" s="5">
        <v>356592.92</v>
      </c>
      <c r="E493" s="5">
        <f>28000+296606.55</f>
        <v>324606.55</v>
      </c>
      <c r="F493" s="27">
        <f t="shared" si="9"/>
        <v>31986.369999999995</v>
      </c>
    </row>
    <row r="494" spans="1:6" ht="15">
      <c r="A494" s="74"/>
      <c r="B494" s="82"/>
      <c r="C494" s="6" t="s">
        <v>236</v>
      </c>
      <c r="D494" s="5">
        <v>588015.05</v>
      </c>
      <c r="E494" s="5"/>
      <c r="F494" s="27">
        <f t="shared" si="9"/>
        <v>588015.05</v>
      </c>
    </row>
    <row r="495" spans="1:6" ht="15">
      <c r="A495" s="74"/>
      <c r="B495" s="82"/>
      <c r="C495" s="6" t="s">
        <v>733</v>
      </c>
      <c r="D495" s="5">
        <f>652153</f>
        <v>652153</v>
      </c>
      <c r="E495" s="5">
        <f>38379+450383.96</f>
        <v>488762.96</v>
      </c>
      <c r="F495" s="27">
        <f t="shared" si="9"/>
        <v>163390.03999999998</v>
      </c>
    </row>
    <row r="496" spans="1:6" ht="30.75">
      <c r="A496" s="74"/>
      <c r="B496" s="82"/>
      <c r="C496" s="6" t="s">
        <v>226</v>
      </c>
      <c r="D496" s="5">
        <v>4898912.05</v>
      </c>
      <c r="E496" s="5">
        <f>1072922.66+2824565.12</f>
        <v>3897487.7800000003</v>
      </c>
      <c r="F496" s="27">
        <f t="shared" si="9"/>
        <v>1001424.2699999996</v>
      </c>
    </row>
    <row r="497" spans="1:6" ht="30.75">
      <c r="A497" s="74"/>
      <c r="B497" s="82"/>
      <c r="C497" s="1" t="s">
        <v>202</v>
      </c>
      <c r="D497" s="2">
        <f>750000-670000</f>
        <v>80000</v>
      </c>
      <c r="E497" s="5">
        <f>80000</f>
        <v>80000</v>
      </c>
      <c r="F497" s="27">
        <f t="shared" si="9"/>
        <v>0</v>
      </c>
    </row>
    <row r="498" spans="1:6" ht="62.25">
      <c r="A498" s="74"/>
      <c r="B498" s="82"/>
      <c r="C498" s="6" t="s">
        <v>229</v>
      </c>
      <c r="D498" s="5">
        <f>3655000-2155000</f>
        <v>1500000</v>
      </c>
      <c r="E498" s="5">
        <f>1487361.57</f>
        <v>1487361.57</v>
      </c>
      <c r="F498" s="27">
        <f t="shared" si="9"/>
        <v>12638.429999999935</v>
      </c>
    </row>
    <row r="499" spans="1:6" ht="30.75">
      <c r="A499" s="74"/>
      <c r="B499" s="82"/>
      <c r="C499" s="1" t="s">
        <v>220</v>
      </c>
      <c r="D499" s="2">
        <f>272000+26246.8</f>
        <v>298246.8</v>
      </c>
      <c r="E499" s="5">
        <v>271999.2</v>
      </c>
      <c r="F499" s="27">
        <f t="shared" si="9"/>
        <v>26247.599999999977</v>
      </c>
    </row>
    <row r="500" spans="1:6" ht="30.75">
      <c r="A500" s="74"/>
      <c r="B500" s="82"/>
      <c r="C500" s="1" t="s">
        <v>219</v>
      </c>
      <c r="D500" s="2">
        <f>477000+100962.8-177000</f>
        <v>400962.80000000005</v>
      </c>
      <c r="E500" s="5"/>
      <c r="F500" s="27">
        <f t="shared" si="9"/>
        <v>400962.80000000005</v>
      </c>
    </row>
    <row r="501" spans="1:6" ht="30.75">
      <c r="A501" s="74"/>
      <c r="B501" s="82"/>
      <c r="C501" s="6" t="s">
        <v>237</v>
      </c>
      <c r="D501" s="5">
        <f>640000-105319</f>
        <v>534681</v>
      </c>
      <c r="E501" s="5">
        <f>525585</f>
        <v>525585</v>
      </c>
      <c r="F501" s="27">
        <f t="shared" si="9"/>
        <v>9096</v>
      </c>
    </row>
    <row r="502" spans="1:6" ht="15">
      <c r="A502" s="74"/>
      <c r="B502" s="82"/>
      <c r="C502" s="6" t="s">
        <v>225</v>
      </c>
      <c r="D502" s="5">
        <f>56033.83-1821.68</f>
        <v>54212.15</v>
      </c>
      <c r="E502" s="5">
        <f>54212.15</f>
        <v>54212.15</v>
      </c>
      <c r="F502" s="27">
        <f t="shared" si="9"/>
        <v>0</v>
      </c>
    </row>
    <row r="503" spans="1:6" ht="30.75">
      <c r="A503" s="74"/>
      <c r="B503" s="82"/>
      <c r="C503" s="6" t="s">
        <v>238</v>
      </c>
      <c r="D503" s="5">
        <v>341685.56</v>
      </c>
      <c r="E503" s="5"/>
      <c r="F503" s="27">
        <f t="shared" si="9"/>
        <v>341685.56</v>
      </c>
    </row>
    <row r="504" spans="1:6" ht="30.75">
      <c r="A504" s="74"/>
      <c r="B504" s="82"/>
      <c r="C504" s="1" t="s">
        <v>540</v>
      </c>
      <c r="D504" s="2">
        <f>1500000+3600000-499460</f>
        <v>4600540</v>
      </c>
      <c r="E504" s="5">
        <f>67940+2114258</f>
        <v>2182198</v>
      </c>
      <c r="F504" s="27">
        <f t="shared" si="9"/>
        <v>2418342</v>
      </c>
    </row>
    <row r="505" spans="1:6" ht="15" customHeight="1">
      <c r="A505" s="71" t="s">
        <v>73</v>
      </c>
      <c r="B505" s="76" t="s">
        <v>46</v>
      </c>
      <c r="C505" s="37"/>
      <c r="D505" s="4">
        <f>D506+D508+D510+D537+D546+D602</f>
        <v>73311916.75</v>
      </c>
      <c r="E505" s="4">
        <f>E506+E508+E510+E537+E546+E602</f>
        <v>49786728.14</v>
      </c>
      <c r="F505" s="27">
        <f t="shared" si="9"/>
        <v>23525188.61</v>
      </c>
    </row>
    <row r="506" spans="1:6" ht="15">
      <c r="A506" s="72"/>
      <c r="B506" s="77"/>
      <c r="C506" s="16" t="s">
        <v>74</v>
      </c>
      <c r="D506" s="4">
        <f>SUM(D507:D507)</f>
        <v>200000</v>
      </c>
      <c r="E506" s="4">
        <f>SUM(E507:E507)</f>
        <v>24312</v>
      </c>
      <c r="F506" s="27">
        <f t="shared" si="9"/>
        <v>175688</v>
      </c>
    </row>
    <row r="507" spans="1:6" ht="30.75">
      <c r="A507" s="72"/>
      <c r="B507" s="77"/>
      <c r="C507" s="6" t="s">
        <v>652</v>
      </c>
      <c r="D507" s="5">
        <v>200000</v>
      </c>
      <c r="E507" s="5">
        <v>24312</v>
      </c>
      <c r="F507" s="27">
        <f t="shared" si="9"/>
        <v>175688</v>
      </c>
    </row>
    <row r="508" spans="1:6" ht="30.75">
      <c r="A508" s="72"/>
      <c r="B508" s="77"/>
      <c r="C508" s="16" t="s">
        <v>75</v>
      </c>
      <c r="D508" s="4">
        <f>D509</f>
        <v>3733000</v>
      </c>
      <c r="E508" s="4">
        <f>E509</f>
        <v>3733000</v>
      </c>
      <c r="F508" s="27">
        <f t="shared" si="9"/>
        <v>0</v>
      </c>
    </row>
    <row r="509" spans="1:6" ht="15">
      <c r="A509" s="72"/>
      <c r="B509" s="77"/>
      <c r="C509" s="6" t="s">
        <v>243</v>
      </c>
      <c r="D509" s="2">
        <f>2000000+1741000-8000</f>
        <v>3733000</v>
      </c>
      <c r="E509" s="5">
        <f>1398000+2335000</f>
        <v>3733000</v>
      </c>
      <c r="F509" s="27">
        <f t="shared" si="9"/>
        <v>0</v>
      </c>
    </row>
    <row r="510" spans="1:6" ht="15">
      <c r="A510" s="72"/>
      <c r="B510" s="77"/>
      <c r="C510" s="16" t="s">
        <v>76</v>
      </c>
      <c r="D510" s="4">
        <f>SUM(D511:D536)</f>
        <v>18407987.07</v>
      </c>
      <c r="E510" s="4">
        <f>SUM(E511:E536)</f>
        <v>10490483.29</v>
      </c>
      <c r="F510" s="27">
        <f t="shared" si="9"/>
        <v>7917503.780000001</v>
      </c>
    </row>
    <row r="511" spans="1:6" ht="15">
      <c r="A511" s="72"/>
      <c r="B511" s="77"/>
      <c r="C511" s="1" t="s">
        <v>747</v>
      </c>
      <c r="D511" s="2">
        <v>360000</v>
      </c>
      <c r="E511" s="5"/>
      <c r="F511" s="27">
        <f t="shared" si="9"/>
        <v>360000</v>
      </c>
    </row>
    <row r="512" spans="1:6" ht="15">
      <c r="A512" s="72"/>
      <c r="B512" s="77"/>
      <c r="C512" s="1" t="s">
        <v>253</v>
      </c>
      <c r="D512" s="2">
        <v>150000</v>
      </c>
      <c r="E512" s="5">
        <v>150000</v>
      </c>
      <c r="F512" s="27">
        <f t="shared" si="9"/>
        <v>0</v>
      </c>
    </row>
    <row r="513" spans="1:6" ht="30.75">
      <c r="A513" s="72"/>
      <c r="B513" s="77"/>
      <c r="C513" s="1" t="s">
        <v>254</v>
      </c>
      <c r="D513" s="2">
        <v>320000</v>
      </c>
      <c r="E513" s="5"/>
      <c r="F513" s="27">
        <f t="shared" si="9"/>
        <v>320000</v>
      </c>
    </row>
    <row r="514" spans="1:6" ht="46.5">
      <c r="A514" s="72"/>
      <c r="B514" s="77"/>
      <c r="C514" s="1" t="s">
        <v>251</v>
      </c>
      <c r="D514" s="2">
        <v>1430000</v>
      </c>
      <c r="E514" s="5">
        <f>1415000</f>
        <v>1415000</v>
      </c>
      <c r="F514" s="27">
        <f t="shared" si="9"/>
        <v>15000</v>
      </c>
    </row>
    <row r="515" spans="1:6" ht="15">
      <c r="A515" s="72"/>
      <c r="B515" s="77"/>
      <c r="C515" s="1" t="s">
        <v>256</v>
      </c>
      <c r="D515" s="2">
        <v>1000000</v>
      </c>
      <c r="E515" s="5">
        <f>849999</f>
        <v>849999</v>
      </c>
      <c r="F515" s="27">
        <f t="shared" si="9"/>
        <v>150001</v>
      </c>
    </row>
    <row r="516" spans="1:6" ht="15">
      <c r="A516" s="72"/>
      <c r="B516" s="77"/>
      <c r="C516" s="6" t="s">
        <v>257</v>
      </c>
      <c r="D516" s="5">
        <v>26000</v>
      </c>
      <c r="E516" s="5"/>
      <c r="F516" s="27">
        <f t="shared" si="9"/>
        <v>26000</v>
      </c>
    </row>
    <row r="517" spans="1:6" ht="46.5">
      <c r="A517" s="72"/>
      <c r="B517" s="77"/>
      <c r="C517" s="6" t="s">
        <v>258</v>
      </c>
      <c r="D517" s="5">
        <v>190000</v>
      </c>
      <c r="E517" s="5"/>
      <c r="F517" s="27">
        <f t="shared" si="9"/>
        <v>190000</v>
      </c>
    </row>
    <row r="518" spans="1:6" ht="15">
      <c r="A518" s="72"/>
      <c r="B518" s="77"/>
      <c r="C518" s="6" t="s">
        <v>259</v>
      </c>
      <c r="D518" s="5">
        <v>1241000</v>
      </c>
      <c r="E518" s="5">
        <f>1241000</f>
        <v>1241000</v>
      </c>
      <c r="F518" s="27">
        <f t="shared" si="9"/>
        <v>0</v>
      </c>
    </row>
    <row r="519" spans="1:6" ht="30.75">
      <c r="A519" s="72"/>
      <c r="B519" s="77"/>
      <c r="C519" s="1" t="s">
        <v>248</v>
      </c>
      <c r="D519" s="2">
        <v>614265</v>
      </c>
      <c r="E519" s="5">
        <f>177219+111650.4+1340</f>
        <v>290209.4</v>
      </c>
      <c r="F519" s="27">
        <f t="shared" si="9"/>
        <v>324055.6</v>
      </c>
    </row>
    <row r="520" spans="1:6" ht="46.5">
      <c r="A520" s="72"/>
      <c r="B520" s="77"/>
      <c r="C520" s="1" t="s">
        <v>245</v>
      </c>
      <c r="D520" s="2">
        <f>1100000-1080000</f>
        <v>20000</v>
      </c>
      <c r="E520" s="5">
        <f>6082</f>
        <v>6082</v>
      </c>
      <c r="F520" s="27">
        <f t="shared" si="9"/>
        <v>13918</v>
      </c>
    </row>
    <row r="521" spans="1:6" ht="30.75">
      <c r="A521" s="72"/>
      <c r="B521" s="77"/>
      <c r="C521" s="1" t="s">
        <v>653</v>
      </c>
      <c r="D521" s="2">
        <v>144705.34</v>
      </c>
      <c r="E521" s="5">
        <f>143544.58</f>
        <v>143544.58</v>
      </c>
      <c r="F521" s="27">
        <f t="shared" si="9"/>
        <v>1160.7600000000093</v>
      </c>
    </row>
    <row r="522" spans="1:6" ht="30.75">
      <c r="A522" s="72"/>
      <c r="B522" s="77"/>
      <c r="C522" s="1" t="s">
        <v>246</v>
      </c>
      <c r="D522" s="2">
        <f>3900000+254770-3900000</f>
        <v>254770</v>
      </c>
      <c r="E522" s="5"/>
      <c r="F522" s="27">
        <f t="shared" si="9"/>
        <v>254770</v>
      </c>
    </row>
    <row r="523" spans="1:6" ht="30.75">
      <c r="A523" s="72"/>
      <c r="B523" s="77"/>
      <c r="C523" s="1" t="s">
        <v>247</v>
      </c>
      <c r="D523" s="2">
        <v>700000</v>
      </c>
      <c r="E523" s="5"/>
      <c r="F523" s="27">
        <f t="shared" si="9"/>
        <v>700000</v>
      </c>
    </row>
    <row r="524" spans="1:6" ht="46.5">
      <c r="A524" s="72"/>
      <c r="B524" s="77"/>
      <c r="C524" s="1" t="s">
        <v>255</v>
      </c>
      <c r="D524" s="2">
        <f>14210020-5000000-5000000+1285863.43</f>
        <v>5495883.43</v>
      </c>
      <c r="E524" s="5">
        <f>2020734.72+950701.79-2090</f>
        <v>2969346.51</v>
      </c>
      <c r="F524" s="27">
        <f t="shared" si="9"/>
        <v>2526536.92</v>
      </c>
    </row>
    <row r="525" spans="1:6" ht="30.75">
      <c r="A525" s="72"/>
      <c r="B525" s="77"/>
      <c r="C525" s="1" t="s">
        <v>469</v>
      </c>
      <c r="D525" s="2">
        <f>3000000-1500000+1500000</f>
        <v>3000000</v>
      </c>
      <c r="E525" s="5">
        <f>938483.66+123877.6+638454+0.6+904426.8+11017.71</f>
        <v>2616260.37</v>
      </c>
      <c r="F525" s="27">
        <f t="shared" si="9"/>
        <v>383739.6299999999</v>
      </c>
    </row>
    <row r="526" spans="1:6" ht="15">
      <c r="A526" s="72"/>
      <c r="B526" s="77"/>
      <c r="C526" s="6" t="s">
        <v>466</v>
      </c>
      <c r="D526" s="5">
        <v>571636</v>
      </c>
      <c r="E526" s="5"/>
      <c r="F526" s="27">
        <f t="shared" si="9"/>
        <v>571636</v>
      </c>
    </row>
    <row r="527" spans="1:6" ht="46.5">
      <c r="A527" s="72"/>
      <c r="B527" s="77"/>
      <c r="C527" s="6" t="s">
        <v>260</v>
      </c>
      <c r="D527" s="5">
        <v>777385</v>
      </c>
      <c r="E527" s="5">
        <f>310605.43+157867.5</f>
        <v>468472.93</v>
      </c>
      <c r="F527" s="27">
        <f t="shared" si="9"/>
        <v>308912.07</v>
      </c>
    </row>
    <row r="528" spans="1:6" ht="30.75">
      <c r="A528" s="72"/>
      <c r="B528" s="77"/>
      <c r="C528" s="6" t="s">
        <v>467</v>
      </c>
      <c r="D528" s="5">
        <v>200000</v>
      </c>
      <c r="E528" s="5"/>
      <c r="F528" s="27">
        <f t="shared" si="9"/>
        <v>200000</v>
      </c>
    </row>
    <row r="529" spans="1:6" ht="30.75">
      <c r="A529" s="72"/>
      <c r="B529" s="77"/>
      <c r="C529" s="6" t="s">
        <v>261</v>
      </c>
      <c r="D529" s="5">
        <v>436721.88</v>
      </c>
      <c r="E529" s="5"/>
      <c r="F529" s="27">
        <f t="shared" si="9"/>
        <v>436721.88</v>
      </c>
    </row>
    <row r="530" spans="1:6" ht="15">
      <c r="A530" s="72"/>
      <c r="B530" s="77"/>
      <c r="C530" s="6" t="s">
        <v>468</v>
      </c>
      <c r="D530" s="5">
        <v>198701.8</v>
      </c>
      <c r="E530" s="5"/>
      <c r="F530" s="27">
        <f t="shared" si="9"/>
        <v>198701.8</v>
      </c>
    </row>
    <row r="531" spans="1:6" ht="46.5">
      <c r="A531" s="72"/>
      <c r="B531" s="77"/>
      <c r="C531" s="1" t="s">
        <v>244</v>
      </c>
      <c r="D531" s="2">
        <f>1150000-1100000</f>
        <v>50000</v>
      </c>
      <c r="E531" s="5"/>
      <c r="F531" s="27">
        <f t="shared" si="9"/>
        <v>50000</v>
      </c>
    </row>
    <row r="532" spans="1:6" ht="46.5">
      <c r="A532" s="72"/>
      <c r="B532" s="77"/>
      <c r="C532" s="1" t="s">
        <v>541</v>
      </c>
      <c r="D532" s="2">
        <f>1520000-1470000</f>
        <v>50000</v>
      </c>
      <c r="E532" s="5"/>
      <c r="F532" s="27">
        <f t="shared" si="9"/>
        <v>50000</v>
      </c>
    </row>
    <row r="533" spans="1:6" ht="46.5">
      <c r="A533" s="72"/>
      <c r="B533" s="77"/>
      <c r="C533" s="1" t="s">
        <v>249</v>
      </c>
      <c r="D533" s="2">
        <f>45375+30000</f>
        <v>75375</v>
      </c>
      <c r="E533" s="5">
        <f>75345</f>
        <v>75345</v>
      </c>
      <c r="F533" s="27">
        <f t="shared" si="9"/>
        <v>30</v>
      </c>
    </row>
    <row r="534" spans="1:6" ht="62.25">
      <c r="A534" s="72"/>
      <c r="B534" s="77"/>
      <c r="C534" s="1" t="s">
        <v>250</v>
      </c>
      <c r="D534" s="2">
        <f>503500+96467.92</f>
        <v>599967.92</v>
      </c>
      <c r="E534" s="5">
        <f>265223.5</f>
        <v>265223.5</v>
      </c>
      <c r="F534" s="27">
        <f t="shared" si="9"/>
        <v>334744.42000000004</v>
      </c>
    </row>
    <row r="535" spans="1:6" ht="30.75">
      <c r="A535" s="72"/>
      <c r="B535" s="77"/>
      <c r="C535" s="6" t="s">
        <v>262</v>
      </c>
      <c r="D535" s="5">
        <v>90000</v>
      </c>
      <c r="E535" s="5"/>
      <c r="F535" s="27">
        <f aca="true" t="shared" si="10" ref="F535:F594">D535-E535</f>
        <v>90000</v>
      </c>
    </row>
    <row r="536" spans="1:6" ht="30.75">
      <c r="A536" s="72"/>
      <c r="B536" s="77"/>
      <c r="C536" s="1" t="s">
        <v>252</v>
      </c>
      <c r="D536" s="2">
        <v>411575.7</v>
      </c>
      <c r="E536" s="5"/>
      <c r="F536" s="27">
        <f t="shared" si="10"/>
        <v>411575.7</v>
      </c>
    </row>
    <row r="537" spans="1:6" ht="15">
      <c r="A537" s="72"/>
      <c r="B537" s="77"/>
      <c r="C537" s="16" t="s">
        <v>77</v>
      </c>
      <c r="D537" s="4">
        <f>SUM(D538:D545)</f>
        <v>16687472</v>
      </c>
      <c r="E537" s="4">
        <f>SUM(E538:E545)</f>
        <v>16144990.8</v>
      </c>
      <c r="F537" s="27">
        <f t="shared" si="10"/>
        <v>542481.1999999993</v>
      </c>
    </row>
    <row r="538" spans="1:6" ht="15">
      <c r="A538" s="72"/>
      <c r="B538" s="77"/>
      <c r="C538" s="1" t="s">
        <v>265</v>
      </c>
      <c r="D538" s="2">
        <f>10342100+20000</f>
        <v>10362100</v>
      </c>
      <c r="E538" s="2">
        <f>5817900+440004+2195600+1907757</f>
        <v>10361261</v>
      </c>
      <c r="F538" s="27">
        <f t="shared" si="10"/>
        <v>839</v>
      </c>
    </row>
    <row r="539" spans="1:6" ht="15">
      <c r="A539" s="72"/>
      <c r="B539" s="77"/>
      <c r="C539" s="6" t="s">
        <v>655</v>
      </c>
      <c r="D539" s="5">
        <v>4900000</v>
      </c>
      <c r="E539" s="2">
        <v>4900000</v>
      </c>
      <c r="F539" s="27">
        <f t="shared" si="10"/>
        <v>0</v>
      </c>
    </row>
    <row r="540" spans="1:6" ht="15">
      <c r="A540" s="72"/>
      <c r="B540" s="77"/>
      <c r="C540" s="6" t="s">
        <v>675</v>
      </c>
      <c r="D540" s="5">
        <v>150000</v>
      </c>
      <c r="E540" s="2">
        <v>150000</v>
      </c>
      <c r="F540" s="27">
        <f t="shared" si="10"/>
        <v>0</v>
      </c>
    </row>
    <row r="541" spans="1:6" ht="15">
      <c r="A541" s="72"/>
      <c r="B541" s="77"/>
      <c r="C541" s="6" t="s">
        <v>673</v>
      </c>
      <c r="D541" s="5">
        <f>40000+3320</f>
        <v>43320</v>
      </c>
      <c r="E541" s="2"/>
      <c r="F541" s="27">
        <f t="shared" si="10"/>
        <v>43320</v>
      </c>
    </row>
    <row r="542" spans="1:6" ht="15">
      <c r="A542" s="72"/>
      <c r="B542" s="77"/>
      <c r="C542" s="6" t="s">
        <v>674</v>
      </c>
      <c r="D542" s="5">
        <v>17316</v>
      </c>
      <c r="E542" s="2">
        <f>17316</f>
        <v>17316</v>
      </c>
      <c r="F542" s="27">
        <f t="shared" si="10"/>
        <v>0</v>
      </c>
    </row>
    <row r="543" spans="1:6" ht="15">
      <c r="A543" s="72"/>
      <c r="B543" s="77"/>
      <c r="C543" s="6" t="s">
        <v>263</v>
      </c>
      <c r="D543" s="5">
        <f>897622-376.8-20000-3320</f>
        <v>873925.2</v>
      </c>
      <c r="E543" s="2">
        <f>688603</f>
        <v>688603</v>
      </c>
      <c r="F543" s="27">
        <f t="shared" si="10"/>
        <v>185322.19999999995</v>
      </c>
    </row>
    <row r="544" spans="1:6" ht="46.5">
      <c r="A544" s="72"/>
      <c r="B544" s="77"/>
      <c r="C544" s="6" t="s">
        <v>654</v>
      </c>
      <c r="D544" s="5">
        <f>150000+163000</f>
        <v>313000</v>
      </c>
      <c r="E544" s="2"/>
      <c r="F544" s="27">
        <f t="shared" si="10"/>
        <v>313000</v>
      </c>
    </row>
    <row r="545" spans="1:6" ht="30.75">
      <c r="A545" s="72"/>
      <c r="B545" s="77"/>
      <c r="C545" s="6" t="s">
        <v>264</v>
      </c>
      <c r="D545" s="5">
        <f>27434+376.8</f>
        <v>27810.8</v>
      </c>
      <c r="E545" s="2">
        <v>27810.8</v>
      </c>
      <c r="F545" s="27">
        <f t="shared" si="10"/>
        <v>0</v>
      </c>
    </row>
    <row r="546" spans="1:6" ht="15">
      <c r="A546" s="72"/>
      <c r="B546" s="77"/>
      <c r="C546" s="16" t="s">
        <v>78</v>
      </c>
      <c r="D546" s="4">
        <f>SUM(D547:D601)</f>
        <v>27941457.680000003</v>
      </c>
      <c r="E546" s="4">
        <f>SUM(E547:E601)</f>
        <v>18870892.05</v>
      </c>
      <c r="F546" s="27">
        <f t="shared" si="10"/>
        <v>9070565.630000003</v>
      </c>
    </row>
    <row r="547" spans="1:6" ht="46.5">
      <c r="A547" s="72"/>
      <c r="B547" s="77"/>
      <c r="C547" s="20" t="s">
        <v>283</v>
      </c>
      <c r="D547" s="5">
        <v>106763.8</v>
      </c>
      <c r="E547" s="5">
        <v>106763.8</v>
      </c>
      <c r="F547" s="27">
        <f t="shared" si="10"/>
        <v>0</v>
      </c>
    </row>
    <row r="548" spans="1:6" ht="46.5">
      <c r="A548" s="72"/>
      <c r="B548" s="77"/>
      <c r="C548" s="6" t="s">
        <v>542</v>
      </c>
      <c r="D548" s="5">
        <f>90000-60000+76568.85</f>
        <v>106568.85</v>
      </c>
      <c r="E548" s="5">
        <v>9882.74</v>
      </c>
      <c r="F548" s="27">
        <f t="shared" si="10"/>
        <v>96686.11</v>
      </c>
    </row>
    <row r="549" spans="1:6" ht="46.5">
      <c r="A549" s="72"/>
      <c r="B549" s="77"/>
      <c r="C549" s="20" t="s">
        <v>282</v>
      </c>
      <c r="D549" s="5">
        <v>203310.64</v>
      </c>
      <c r="E549" s="5">
        <v>203310.64</v>
      </c>
      <c r="F549" s="27">
        <f t="shared" si="10"/>
        <v>0</v>
      </c>
    </row>
    <row r="550" spans="1:6" ht="46.5">
      <c r="A550" s="72"/>
      <c r="B550" s="77"/>
      <c r="C550" s="6" t="s">
        <v>543</v>
      </c>
      <c r="D550" s="5">
        <f>90000-6375.35</f>
        <v>83624.65</v>
      </c>
      <c r="E550" s="5">
        <f>9703.1+73921.55</f>
        <v>83624.65000000001</v>
      </c>
      <c r="F550" s="27">
        <f t="shared" si="10"/>
        <v>0</v>
      </c>
    </row>
    <row r="551" spans="1:6" ht="46.5">
      <c r="A551" s="72"/>
      <c r="B551" s="77"/>
      <c r="C551" s="6" t="s">
        <v>544</v>
      </c>
      <c r="D551" s="5">
        <f>175000-125000+137955.54</f>
        <v>187955.54</v>
      </c>
      <c r="E551" s="5">
        <v>13855.52</v>
      </c>
      <c r="F551" s="27">
        <f t="shared" si="10"/>
        <v>174100.02000000002</v>
      </c>
    </row>
    <row r="552" spans="1:6" ht="46.5">
      <c r="A552" s="72"/>
      <c r="B552" s="77"/>
      <c r="C552" s="6" t="s">
        <v>545</v>
      </c>
      <c r="D552" s="5">
        <f>320000-280000+273611.46</f>
        <v>313611.46</v>
      </c>
      <c r="E552" s="5">
        <v>22656.14</v>
      </c>
      <c r="F552" s="27">
        <f t="shared" si="10"/>
        <v>290955.32</v>
      </c>
    </row>
    <row r="553" spans="1:6" ht="46.5">
      <c r="A553" s="72"/>
      <c r="B553" s="77"/>
      <c r="C553" s="6" t="s">
        <v>546</v>
      </c>
      <c r="D553" s="5">
        <f>125000-4573.85</f>
        <v>120426.15</v>
      </c>
      <c r="E553" s="5">
        <f>11987.96+108438.19</f>
        <v>120426.15</v>
      </c>
      <c r="F553" s="27">
        <f t="shared" si="10"/>
        <v>0</v>
      </c>
    </row>
    <row r="554" spans="1:6" ht="46.5">
      <c r="A554" s="72"/>
      <c r="B554" s="77"/>
      <c r="C554" s="6" t="s">
        <v>292</v>
      </c>
      <c r="D554" s="5">
        <f>90000-6941.07</f>
        <v>83058.93</v>
      </c>
      <c r="E554" s="5">
        <f>9667.04+73391.89</f>
        <v>83058.93</v>
      </c>
      <c r="F554" s="27">
        <f t="shared" si="10"/>
        <v>0</v>
      </c>
    </row>
    <row r="555" spans="1:6" ht="46.5">
      <c r="A555" s="72"/>
      <c r="B555" s="77"/>
      <c r="C555" s="6" t="s">
        <v>547</v>
      </c>
      <c r="D555" s="5">
        <f>245000-200000+204485.31</f>
        <v>249485.31</v>
      </c>
      <c r="E555" s="5">
        <v>18158.81</v>
      </c>
      <c r="F555" s="27">
        <f t="shared" si="10"/>
        <v>231326.5</v>
      </c>
    </row>
    <row r="556" spans="1:6" ht="62.25">
      <c r="A556" s="72"/>
      <c r="B556" s="77"/>
      <c r="C556" s="23" t="s">
        <v>771</v>
      </c>
      <c r="D556" s="5">
        <f>6312000+728000-6300000+40000</f>
        <v>780000</v>
      </c>
      <c r="E556" s="5">
        <v>638019.61</v>
      </c>
      <c r="F556" s="27">
        <f t="shared" si="10"/>
        <v>141980.39</v>
      </c>
    </row>
    <row r="557" spans="1:6" ht="30.75">
      <c r="A557" s="72"/>
      <c r="B557" s="77"/>
      <c r="C557" s="1" t="s">
        <v>289</v>
      </c>
      <c r="D557" s="2">
        <f>850000-482988</f>
        <v>367012</v>
      </c>
      <c r="E557" s="5">
        <f>26765.71+325888.18</f>
        <v>352653.89</v>
      </c>
      <c r="F557" s="27">
        <f t="shared" si="10"/>
        <v>14358.109999999986</v>
      </c>
    </row>
    <row r="558" spans="1:6" ht="46.5">
      <c r="A558" s="72"/>
      <c r="B558" s="77"/>
      <c r="C558" s="6" t="s">
        <v>297</v>
      </c>
      <c r="D558" s="5">
        <f>95100-65000+75685.29</f>
        <v>105785.29</v>
      </c>
      <c r="E558" s="5">
        <f>10532.74</f>
        <v>10532.74</v>
      </c>
      <c r="F558" s="27">
        <f t="shared" si="10"/>
        <v>95252.54999999999</v>
      </c>
    </row>
    <row r="559" spans="1:6" ht="46.5">
      <c r="A559" s="72"/>
      <c r="B559" s="77"/>
      <c r="C559" s="6" t="s">
        <v>295</v>
      </c>
      <c r="D559" s="5">
        <f>343600-300000+304775.34</f>
        <v>348375.34</v>
      </c>
      <c r="E559" s="5">
        <v>25358.37</v>
      </c>
      <c r="F559" s="27">
        <f t="shared" si="10"/>
        <v>323016.97000000003</v>
      </c>
    </row>
    <row r="560" spans="1:6" ht="30.75">
      <c r="A560" s="72"/>
      <c r="B560" s="77"/>
      <c r="C560" s="23" t="s">
        <v>310</v>
      </c>
      <c r="D560" s="5">
        <v>720000</v>
      </c>
      <c r="E560" s="5">
        <f>42336.16+567369.77</f>
        <v>609705.93</v>
      </c>
      <c r="F560" s="27">
        <f t="shared" si="10"/>
        <v>110294.06999999995</v>
      </c>
    </row>
    <row r="561" spans="1:6" ht="46.5">
      <c r="A561" s="72"/>
      <c r="B561" s="77"/>
      <c r="C561" s="6" t="s">
        <v>294</v>
      </c>
      <c r="D561" s="5">
        <v>390000</v>
      </c>
      <c r="E561" s="5">
        <f>24512.75+291627.48</f>
        <v>316140.23</v>
      </c>
      <c r="F561" s="27">
        <f t="shared" si="10"/>
        <v>73859.77000000002</v>
      </c>
    </row>
    <row r="562" spans="1:6" ht="46.5">
      <c r="A562" s="72"/>
      <c r="B562" s="77"/>
      <c r="C562" s="6" t="s">
        <v>296</v>
      </c>
      <c r="D562" s="5">
        <v>364100</v>
      </c>
      <c r="E562" s="5">
        <f>26527.88+322602.69</f>
        <v>349130.57</v>
      </c>
      <c r="F562" s="27">
        <f t="shared" si="10"/>
        <v>14969.429999999993</v>
      </c>
    </row>
    <row r="563" spans="1:6" ht="46.5">
      <c r="A563" s="72"/>
      <c r="B563" s="77"/>
      <c r="C563" s="6" t="s">
        <v>274</v>
      </c>
      <c r="D563" s="5">
        <f>225000-28252.59</f>
        <v>196747.41</v>
      </c>
      <c r="E563" s="5">
        <f>17214.68+179532.73</f>
        <v>196747.41</v>
      </c>
      <c r="F563" s="27">
        <f t="shared" si="10"/>
        <v>0</v>
      </c>
    </row>
    <row r="564" spans="1:6" ht="46.5">
      <c r="A564" s="72"/>
      <c r="B564" s="77"/>
      <c r="C564" s="20" t="s">
        <v>275</v>
      </c>
      <c r="D564" s="5">
        <v>250000</v>
      </c>
      <c r="E564" s="5">
        <f>18909.53+204913.71</f>
        <v>223823.24</v>
      </c>
      <c r="F564" s="27">
        <f t="shared" si="10"/>
        <v>26176.76000000001</v>
      </c>
    </row>
    <row r="565" spans="1:6" ht="30.75">
      <c r="A565" s="72"/>
      <c r="B565" s="77"/>
      <c r="C565" s="6" t="s">
        <v>291</v>
      </c>
      <c r="D565" s="5">
        <v>200000</v>
      </c>
      <c r="E565" s="5">
        <f>12777.66+109560.63</f>
        <v>122338.29000000001</v>
      </c>
      <c r="F565" s="27">
        <f t="shared" si="10"/>
        <v>77661.70999999999</v>
      </c>
    </row>
    <row r="566" spans="1:6" ht="46.5">
      <c r="A566" s="72"/>
      <c r="B566" s="77"/>
      <c r="C566" s="6" t="s">
        <v>560</v>
      </c>
      <c r="D566" s="5">
        <v>400000</v>
      </c>
      <c r="E566" s="5">
        <f>14570.48+138350.02</f>
        <v>152920.5</v>
      </c>
      <c r="F566" s="27">
        <f t="shared" si="10"/>
        <v>247079.5</v>
      </c>
    </row>
    <row r="567" spans="1:6" ht="46.5">
      <c r="A567" s="72"/>
      <c r="B567" s="77"/>
      <c r="C567" s="1" t="s">
        <v>267</v>
      </c>
      <c r="D567" s="2">
        <v>327750</v>
      </c>
      <c r="E567" s="5">
        <f>22470.29+259939.08</f>
        <v>282409.37</v>
      </c>
      <c r="F567" s="27">
        <f t="shared" si="10"/>
        <v>45340.630000000005</v>
      </c>
    </row>
    <row r="568" spans="1:6" ht="30.75">
      <c r="A568" s="72"/>
      <c r="B568" s="77"/>
      <c r="C568" s="26" t="s">
        <v>268</v>
      </c>
      <c r="D568" s="2">
        <f>637125-136262.76</f>
        <v>500862.24</v>
      </c>
      <c r="E568" s="5">
        <f>35786.21+465076.03</f>
        <v>500862.24000000005</v>
      </c>
      <c r="F568" s="27">
        <f t="shared" si="10"/>
        <v>0</v>
      </c>
    </row>
    <row r="569" spans="1:6" ht="30.75">
      <c r="A569" s="72"/>
      <c r="B569" s="77"/>
      <c r="C569" s="6" t="s">
        <v>299</v>
      </c>
      <c r="D569" s="5">
        <v>421067.74</v>
      </c>
      <c r="E569" s="5">
        <v>421067.74</v>
      </c>
      <c r="F569" s="27">
        <f t="shared" si="10"/>
        <v>0</v>
      </c>
    </row>
    <row r="570" spans="1:6" ht="46.5">
      <c r="A570" s="72"/>
      <c r="B570" s="77"/>
      <c r="C570" s="20" t="s">
        <v>284</v>
      </c>
      <c r="D570" s="5">
        <f>1610000-73792.78</f>
        <v>1536207.22</v>
      </c>
      <c r="E570" s="5">
        <f>104713+1431494.22</f>
        <v>1536207.22</v>
      </c>
      <c r="F570" s="27">
        <f t="shared" si="10"/>
        <v>0</v>
      </c>
    </row>
    <row r="571" spans="1:6" ht="30.75">
      <c r="A571" s="72"/>
      <c r="B571" s="77"/>
      <c r="C571" s="6" t="s">
        <v>273</v>
      </c>
      <c r="D571" s="5">
        <v>365000</v>
      </c>
      <c r="E571" s="5">
        <f>24240.83+287217.35</f>
        <v>311458.18</v>
      </c>
      <c r="F571" s="27">
        <f t="shared" si="10"/>
        <v>53541.82000000001</v>
      </c>
    </row>
    <row r="572" spans="1:6" ht="30.75">
      <c r="A572" s="72"/>
      <c r="B572" s="77"/>
      <c r="C572" s="23" t="s">
        <v>557</v>
      </c>
      <c r="D572" s="5">
        <f>1650000-1500000</f>
        <v>150000</v>
      </c>
      <c r="E572" s="5">
        <f>106154.5</f>
        <v>106154.5</v>
      </c>
      <c r="F572" s="27">
        <f t="shared" si="10"/>
        <v>43845.5</v>
      </c>
    </row>
    <row r="573" spans="1:6" ht="46.5">
      <c r="A573" s="72"/>
      <c r="B573" s="77"/>
      <c r="C573" s="26" t="s">
        <v>271</v>
      </c>
      <c r="D573" s="2">
        <v>301300</v>
      </c>
      <c r="E573" s="5">
        <f>20641.32+232182.21</f>
        <v>252823.53</v>
      </c>
      <c r="F573" s="27">
        <f t="shared" si="10"/>
        <v>48476.47</v>
      </c>
    </row>
    <row r="574" spans="1:6" ht="46.5">
      <c r="A574" s="72"/>
      <c r="B574" s="77"/>
      <c r="C574" s="20" t="s">
        <v>286</v>
      </c>
      <c r="D574" s="5">
        <v>1280000</v>
      </c>
      <c r="E574" s="27">
        <f>39889.95+528933.03</f>
        <v>568822.98</v>
      </c>
      <c r="F574" s="27">
        <f t="shared" si="10"/>
        <v>711177.02</v>
      </c>
    </row>
    <row r="575" spans="1:6" ht="30.75">
      <c r="A575" s="72"/>
      <c r="B575" s="77"/>
      <c r="C575" s="20" t="s">
        <v>278</v>
      </c>
      <c r="D575" s="5">
        <f>120000-57368.34</f>
        <v>62631.66</v>
      </c>
      <c r="E575" s="27">
        <f>9084.13+53547.53</f>
        <v>62631.659999999996</v>
      </c>
      <c r="F575" s="27">
        <f t="shared" si="10"/>
        <v>0</v>
      </c>
    </row>
    <row r="576" spans="1:6" ht="15">
      <c r="A576" s="72"/>
      <c r="B576" s="77"/>
      <c r="C576" s="23" t="s">
        <v>306</v>
      </c>
      <c r="D576" s="5">
        <v>1450000</v>
      </c>
      <c r="E576" s="5">
        <v>77331.22</v>
      </c>
      <c r="F576" s="27">
        <f t="shared" si="10"/>
        <v>1372668.78</v>
      </c>
    </row>
    <row r="577" spans="1:6" ht="63" customHeight="1">
      <c r="A577" s="72"/>
      <c r="B577" s="77"/>
      <c r="C577" s="26" t="s">
        <v>269</v>
      </c>
      <c r="D577" s="2">
        <f>178250-43272.83</f>
        <v>134977.16999999998</v>
      </c>
      <c r="E577" s="5">
        <f>13518.47+121458.7</f>
        <v>134977.16999999998</v>
      </c>
      <c r="F577" s="27">
        <f t="shared" si="10"/>
        <v>0</v>
      </c>
    </row>
    <row r="578" spans="1:6" ht="46.5">
      <c r="A578" s="72"/>
      <c r="B578" s="77"/>
      <c r="C578" s="20" t="s">
        <v>287</v>
      </c>
      <c r="D578" s="5">
        <v>520000</v>
      </c>
      <c r="E578" s="5">
        <v>21294.16</v>
      </c>
      <c r="F578" s="27">
        <f t="shared" si="10"/>
        <v>498705.84</v>
      </c>
    </row>
    <row r="579" spans="1:6" ht="30.75">
      <c r="A579" s="72"/>
      <c r="B579" s="77"/>
      <c r="C579" s="6" t="s">
        <v>272</v>
      </c>
      <c r="D579" s="5">
        <v>320310</v>
      </c>
      <c r="E579" s="5">
        <f>21843.05+249653.7</f>
        <v>271496.75</v>
      </c>
      <c r="F579" s="27">
        <f t="shared" si="10"/>
        <v>48813.25</v>
      </c>
    </row>
    <row r="580" spans="1:6" ht="30.75">
      <c r="A580" s="72"/>
      <c r="B580" s="77"/>
      <c r="C580" s="26" t="s">
        <v>270</v>
      </c>
      <c r="D580" s="2">
        <f>178250-41695.1</f>
        <v>136554.9</v>
      </c>
      <c r="E580" s="5">
        <f>13568.63+122986.27</f>
        <v>136554.9</v>
      </c>
      <c r="F580" s="27">
        <f t="shared" si="10"/>
        <v>0</v>
      </c>
    </row>
    <row r="581" spans="1:6" ht="30.75">
      <c r="A581" s="72"/>
      <c r="B581" s="77"/>
      <c r="C581" s="6" t="s">
        <v>290</v>
      </c>
      <c r="D581" s="5">
        <v>400000</v>
      </c>
      <c r="E581" s="5">
        <f>19824.84+219253.8</f>
        <v>239078.63999999998</v>
      </c>
      <c r="F581" s="27">
        <f t="shared" si="10"/>
        <v>160921.36000000002</v>
      </c>
    </row>
    <row r="582" spans="1:6" ht="46.5">
      <c r="A582" s="72"/>
      <c r="B582" s="77"/>
      <c r="C582" s="6" t="s">
        <v>293</v>
      </c>
      <c r="D582" s="5">
        <f>523400-470000</f>
        <v>53400</v>
      </c>
      <c r="E582" s="5">
        <v>33113.15</v>
      </c>
      <c r="F582" s="27">
        <f t="shared" si="10"/>
        <v>20286.85</v>
      </c>
    </row>
    <row r="583" spans="1:6" ht="30.75">
      <c r="A583" s="72"/>
      <c r="B583" s="77"/>
      <c r="C583" s="6" t="s">
        <v>279</v>
      </c>
      <c r="D583" s="5">
        <f>120000-120000+108061.48</f>
        <v>108061.48</v>
      </c>
      <c r="E583" s="5"/>
      <c r="F583" s="27">
        <f t="shared" si="10"/>
        <v>108061.48</v>
      </c>
    </row>
    <row r="584" spans="1:6" ht="30.75">
      <c r="A584" s="72"/>
      <c r="B584" s="77"/>
      <c r="C584" s="20" t="s">
        <v>281</v>
      </c>
      <c r="D584" s="5">
        <v>122276.53</v>
      </c>
      <c r="E584" s="5">
        <v>122276.53</v>
      </c>
      <c r="F584" s="27">
        <f t="shared" si="10"/>
        <v>0</v>
      </c>
    </row>
    <row r="585" spans="1:6" ht="30.75">
      <c r="A585" s="72"/>
      <c r="B585" s="77"/>
      <c r="C585" s="20" t="s">
        <v>280</v>
      </c>
      <c r="D585" s="5">
        <f>110000-35319.86</f>
        <v>74680.14</v>
      </c>
      <c r="E585" s="5">
        <f>9819.81+64860.33</f>
        <v>74680.14</v>
      </c>
      <c r="F585" s="27">
        <f t="shared" si="10"/>
        <v>0</v>
      </c>
    </row>
    <row r="586" spans="1:6" ht="15">
      <c r="A586" s="72"/>
      <c r="B586" s="77"/>
      <c r="C586" s="23" t="s">
        <v>305</v>
      </c>
      <c r="D586" s="5">
        <v>1500000</v>
      </c>
      <c r="E586" s="5">
        <f>60751.91+913841.46</f>
        <v>974593.37</v>
      </c>
      <c r="F586" s="27">
        <f t="shared" si="10"/>
        <v>525406.63</v>
      </c>
    </row>
    <row r="587" spans="1:6" ht="15">
      <c r="A587" s="72"/>
      <c r="B587" s="77"/>
      <c r="C587" s="23" t="s">
        <v>308</v>
      </c>
      <c r="D587" s="5">
        <v>1490000</v>
      </c>
      <c r="E587" s="5">
        <f>60659.4+910149.21</f>
        <v>970808.61</v>
      </c>
      <c r="F587" s="27">
        <f t="shared" si="10"/>
        <v>519191.39</v>
      </c>
    </row>
    <row r="588" spans="1:6" ht="30.75">
      <c r="A588" s="72"/>
      <c r="B588" s="77"/>
      <c r="C588" s="26" t="s">
        <v>548</v>
      </c>
      <c r="D588" s="2">
        <v>1000000</v>
      </c>
      <c r="E588" s="5">
        <f>31511.34+411399.54</f>
        <v>442910.88</v>
      </c>
      <c r="F588" s="27">
        <f t="shared" si="10"/>
        <v>557089.12</v>
      </c>
    </row>
    <row r="589" spans="1:6" ht="30.75">
      <c r="A589" s="72"/>
      <c r="B589" s="77"/>
      <c r="C589" s="6" t="s">
        <v>298</v>
      </c>
      <c r="D589" s="5">
        <v>355600</v>
      </c>
      <c r="E589" s="5">
        <f>25506.5+305894.18</f>
        <v>331400.68</v>
      </c>
      <c r="F589" s="27">
        <f t="shared" si="10"/>
        <v>24199.320000000007</v>
      </c>
    </row>
    <row r="590" spans="1:6" ht="15">
      <c r="A590" s="72"/>
      <c r="B590" s="77"/>
      <c r="C590" s="6" t="s">
        <v>301</v>
      </c>
      <c r="D590" s="5">
        <v>525041.09</v>
      </c>
      <c r="E590" s="5">
        <v>525041.09</v>
      </c>
      <c r="F590" s="27">
        <f t="shared" si="10"/>
        <v>0</v>
      </c>
    </row>
    <row r="591" spans="1:6" ht="30.75">
      <c r="A591" s="72"/>
      <c r="B591" s="77"/>
      <c r="C591" s="8" t="s">
        <v>266</v>
      </c>
      <c r="D591" s="2">
        <f>545000-400000-3661.08</f>
        <v>141338.92</v>
      </c>
      <c r="E591" s="5">
        <f>14336.52+127002.4</f>
        <v>141338.91999999998</v>
      </c>
      <c r="F591" s="27">
        <f t="shared" si="10"/>
        <v>0</v>
      </c>
    </row>
    <row r="592" spans="1:6" ht="15">
      <c r="A592" s="72"/>
      <c r="B592" s="77"/>
      <c r="C592" s="6" t="s">
        <v>300</v>
      </c>
      <c r="D592" s="5">
        <v>37909.43</v>
      </c>
      <c r="E592" s="5">
        <v>37909.43</v>
      </c>
      <c r="F592" s="27">
        <f t="shared" si="10"/>
        <v>0</v>
      </c>
    </row>
    <row r="593" spans="1:6" ht="30.75">
      <c r="A593" s="72"/>
      <c r="B593" s="77"/>
      <c r="C593" s="20" t="s">
        <v>276</v>
      </c>
      <c r="D593" s="5">
        <f>130000-18890.05</f>
        <v>111109.95</v>
      </c>
      <c r="E593" s="5">
        <f>12064.66+99045.29</f>
        <v>111109.95</v>
      </c>
      <c r="F593" s="27">
        <f t="shared" si="10"/>
        <v>0</v>
      </c>
    </row>
    <row r="594" spans="1:6" ht="15">
      <c r="A594" s="72"/>
      <c r="B594" s="77"/>
      <c r="C594" s="23" t="s">
        <v>309</v>
      </c>
      <c r="D594" s="5">
        <v>1570000</v>
      </c>
      <c r="E594" s="5">
        <f>51001.42+721002.99</f>
        <v>772004.41</v>
      </c>
      <c r="F594" s="27">
        <f t="shared" si="10"/>
        <v>797995.59</v>
      </c>
    </row>
    <row r="595" spans="1:6" ht="30.75">
      <c r="A595" s="72"/>
      <c r="B595" s="77"/>
      <c r="C595" s="20" t="s">
        <v>285</v>
      </c>
      <c r="D595" s="5">
        <v>1590000</v>
      </c>
      <c r="E595" s="5">
        <f>59768.6+891817.14</f>
        <v>951585.74</v>
      </c>
      <c r="F595" s="27">
        <f aca="true" t="shared" si="11" ref="F595:F638">D595-E595</f>
        <v>638414.26</v>
      </c>
    </row>
    <row r="596" spans="1:6" ht="30.75" customHeight="1" hidden="1">
      <c r="A596" s="72"/>
      <c r="B596" s="77"/>
      <c r="C596" s="23" t="s">
        <v>307</v>
      </c>
      <c r="D596" s="5">
        <f>780000-780000</f>
        <v>0</v>
      </c>
      <c r="E596" s="5"/>
      <c r="F596" s="27">
        <f t="shared" si="11"/>
        <v>0</v>
      </c>
    </row>
    <row r="597" spans="1:6" ht="30.75">
      <c r="A597" s="72"/>
      <c r="B597" s="77"/>
      <c r="C597" s="20" t="s">
        <v>288</v>
      </c>
      <c r="D597" s="5">
        <v>1510000</v>
      </c>
      <c r="E597" s="5">
        <f>50815.51+711131.48</f>
        <v>761946.99</v>
      </c>
      <c r="F597" s="27">
        <f t="shared" si="11"/>
        <v>748053.01</v>
      </c>
    </row>
    <row r="598" spans="1:6" ht="30.75">
      <c r="A598" s="72"/>
      <c r="B598" s="77"/>
      <c r="C598" s="20" t="s">
        <v>277</v>
      </c>
      <c r="D598" s="5">
        <f>120000-57936.48</f>
        <v>62063.52</v>
      </c>
      <c r="E598" s="5">
        <f>9047.9+53015.62</f>
        <v>62063.520000000004</v>
      </c>
      <c r="F598" s="27">
        <f t="shared" si="11"/>
        <v>0</v>
      </c>
    </row>
    <row r="599" spans="1:6" ht="30.75">
      <c r="A599" s="72"/>
      <c r="B599" s="77"/>
      <c r="C599" s="6" t="s">
        <v>302</v>
      </c>
      <c r="D599" s="5">
        <v>1056490.32</v>
      </c>
      <c r="E599" s="5">
        <v>1056490.32</v>
      </c>
      <c r="F599" s="27">
        <f t="shared" si="11"/>
        <v>0</v>
      </c>
    </row>
    <row r="600" spans="1:6" ht="46.5">
      <c r="A600" s="72"/>
      <c r="B600" s="77"/>
      <c r="C600" s="23" t="s">
        <v>303</v>
      </c>
      <c r="D600" s="5">
        <v>1512000</v>
      </c>
      <c r="E600" s="5">
        <f>36180+1316981.92</f>
        <v>1353161.92</v>
      </c>
      <c r="F600" s="27">
        <f t="shared" si="11"/>
        <v>158838.08000000007</v>
      </c>
    </row>
    <row r="601" spans="1:6" ht="46.5">
      <c r="A601" s="72"/>
      <c r="B601" s="77"/>
      <c r="C601" s="23" t="s">
        <v>304</v>
      </c>
      <c r="D601" s="5">
        <v>1638000</v>
      </c>
      <c r="E601" s="5">
        <f>36245.2+1529932.78</f>
        <v>1566177.98</v>
      </c>
      <c r="F601" s="27">
        <f t="shared" si="11"/>
        <v>71822.02000000002</v>
      </c>
    </row>
    <row r="602" spans="1:6" ht="30.75">
      <c r="A602" s="72"/>
      <c r="B602" s="77"/>
      <c r="C602" s="16" t="s">
        <v>510</v>
      </c>
      <c r="D602" s="4">
        <f>SUM(D603:D611)</f>
        <v>6342000</v>
      </c>
      <c r="E602" s="4">
        <f>SUM(E603:E611)</f>
        <v>523050</v>
      </c>
      <c r="F602" s="27">
        <f t="shared" si="11"/>
        <v>5818950</v>
      </c>
    </row>
    <row r="603" spans="1:6" ht="15">
      <c r="A603" s="72"/>
      <c r="B603" s="77"/>
      <c r="C603" s="26" t="s">
        <v>514</v>
      </c>
      <c r="D603" s="5">
        <v>1000000</v>
      </c>
      <c r="E603" s="5"/>
      <c r="F603" s="27">
        <f t="shared" si="11"/>
        <v>1000000</v>
      </c>
    </row>
    <row r="604" spans="1:6" ht="30.75">
      <c r="A604" s="72"/>
      <c r="B604" s="77"/>
      <c r="C604" s="26" t="s">
        <v>764</v>
      </c>
      <c r="D604" s="5">
        <v>509276</v>
      </c>
      <c r="E604" s="5"/>
      <c r="F604" s="27">
        <f t="shared" si="11"/>
        <v>509276</v>
      </c>
    </row>
    <row r="605" spans="1:6" ht="46.5">
      <c r="A605" s="72"/>
      <c r="B605" s="77"/>
      <c r="C605" s="26" t="s">
        <v>511</v>
      </c>
      <c r="D605" s="5">
        <f>1800000-1000</f>
        <v>1799000</v>
      </c>
      <c r="E605" s="5"/>
      <c r="F605" s="27">
        <f t="shared" si="11"/>
        <v>1799000</v>
      </c>
    </row>
    <row r="606" spans="1:6" ht="30.75">
      <c r="A606" s="72"/>
      <c r="B606" s="77"/>
      <c r="C606" s="26" t="s">
        <v>512</v>
      </c>
      <c r="D606" s="5">
        <f>300000+15000</f>
        <v>315000</v>
      </c>
      <c r="E606" s="5">
        <f>313050</f>
        <v>313050</v>
      </c>
      <c r="F606" s="27">
        <f t="shared" si="11"/>
        <v>1950</v>
      </c>
    </row>
    <row r="607" spans="1:6" ht="30.75">
      <c r="A607" s="72"/>
      <c r="B607" s="77"/>
      <c r="C607" s="26" t="s">
        <v>763</v>
      </c>
      <c r="D607" s="5">
        <v>175000</v>
      </c>
      <c r="E607" s="5"/>
      <c r="F607" s="27">
        <f t="shared" si="11"/>
        <v>175000</v>
      </c>
    </row>
    <row r="608" spans="1:6" ht="30.75">
      <c r="A608" s="72"/>
      <c r="B608" s="77"/>
      <c r="C608" s="26" t="s">
        <v>513</v>
      </c>
      <c r="D608" s="5">
        <f>400000-190000</f>
        <v>210000</v>
      </c>
      <c r="E608" s="5">
        <f>210000</f>
        <v>210000</v>
      </c>
      <c r="F608" s="27">
        <f t="shared" si="11"/>
        <v>0</v>
      </c>
    </row>
    <row r="609" spans="1:6" ht="46.5">
      <c r="A609" s="32"/>
      <c r="B609" s="33"/>
      <c r="C609" s="26" t="s">
        <v>734</v>
      </c>
      <c r="D609" s="5">
        <f>1782000-509276</f>
        <v>1272724</v>
      </c>
      <c r="E609" s="5"/>
      <c r="F609" s="27">
        <f t="shared" si="11"/>
        <v>1272724</v>
      </c>
    </row>
    <row r="610" spans="1:6" ht="62.25">
      <c r="A610" s="32"/>
      <c r="B610" s="33"/>
      <c r="C610" s="26" t="s">
        <v>735</v>
      </c>
      <c r="D610" s="5">
        <f>461000-33400</f>
        <v>427600</v>
      </c>
      <c r="E610" s="5"/>
      <c r="F610" s="27">
        <f t="shared" si="11"/>
        <v>427600</v>
      </c>
    </row>
    <row r="611" spans="1:6" ht="30.75">
      <c r="A611" s="32"/>
      <c r="B611" s="33"/>
      <c r="C611" s="26" t="s">
        <v>736</v>
      </c>
      <c r="D611" s="5">
        <f>600000+33400</f>
        <v>633400</v>
      </c>
      <c r="E611" s="5"/>
      <c r="F611" s="27">
        <f t="shared" si="11"/>
        <v>633400</v>
      </c>
    </row>
    <row r="612" spans="1:6" ht="15">
      <c r="A612" s="79" t="s">
        <v>657</v>
      </c>
      <c r="B612" s="64" t="s">
        <v>658</v>
      </c>
      <c r="C612" s="8"/>
      <c r="D612" s="4">
        <f>D613</f>
        <v>600000</v>
      </c>
      <c r="E612" s="4">
        <f>E613</f>
        <v>573960</v>
      </c>
      <c r="F612" s="27">
        <f t="shared" si="11"/>
        <v>26040</v>
      </c>
    </row>
    <row r="613" spans="1:6" ht="42" customHeight="1">
      <c r="A613" s="81"/>
      <c r="B613" s="65"/>
      <c r="C613" s="8" t="s">
        <v>659</v>
      </c>
      <c r="D613" s="2">
        <v>600000</v>
      </c>
      <c r="E613" s="5">
        <f>573960</f>
        <v>573960</v>
      </c>
      <c r="F613" s="27">
        <f t="shared" si="11"/>
        <v>26040</v>
      </c>
    </row>
    <row r="614" spans="1:6" ht="24" customHeight="1">
      <c r="A614" s="85" t="s">
        <v>737</v>
      </c>
      <c r="B614" s="75" t="s">
        <v>95</v>
      </c>
      <c r="C614" s="1"/>
      <c r="D614" s="4">
        <f>D615</f>
        <v>1700000</v>
      </c>
      <c r="E614" s="12"/>
      <c r="F614" s="27">
        <f t="shared" si="11"/>
        <v>1700000</v>
      </c>
    </row>
    <row r="615" spans="1:6" ht="42" customHeight="1">
      <c r="A615" s="85"/>
      <c r="B615" s="75"/>
      <c r="C615" s="6" t="s">
        <v>738</v>
      </c>
      <c r="D615" s="2">
        <f>1700000</f>
        <v>1700000</v>
      </c>
      <c r="E615" s="5"/>
      <c r="F615" s="27">
        <f t="shared" si="11"/>
        <v>1700000</v>
      </c>
    </row>
    <row r="616" spans="1:6" ht="40.5" customHeight="1">
      <c r="A616" s="74" t="s">
        <v>79</v>
      </c>
      <c r="B616" s="82" t="s">
        <v>18</v>
      </c>
      <c r="C616" s="6"/>
      <c r="D616" s="4">
        <f>D617</f>
        <v>1109950</v>
      </c>
      <c r="E616" s="4">
        <f>E617</f>
        <v>0</v>
      </c>
      <c r="F616" s="27">
        <f t="shared" si="11"/>
        <v>1109950</v>
      </c>
    </row>
    <row r="617" spans="1:6" ht="60.75" customHeight="1">
      <c r="A617" s="74"/>
      <c r="B617" s="82"/>
      <c r="C617" s="8" t="s">
        <v>656</v>
      </c>
      <c r="D617" s="2">
        <f>1109950</f>
        <v>1109950</v>
      </c>
      <c r="E617" s="5">
        <f>1109950-1109950</f>
        <v>0</v>
      </c>
      <c r="F617" s="27">
        <f t="shared" si="11"/>
        <v>1109950</v>
      </c>
    </row>
    <row r="618" spans="1:6" ht="30.75">
      <c r="A618" s="36" t="s">
        <v>80</v>
      </c>
      <c r="B618" s="37" t="s">
        <v>81</v>
      </c>
      <c r="C618" s="37"/>
      <c r="D618" s="12">
        <f>D619</f>
        <v>168174633.76</v>
      </c>
      <c r="E618" s="12">
        <f>E619</f>
        <v>113387066.59</v>
      </c>
      <c r="F618" s="27">
        <f t="shared" si="11"/>
        <v>54787567.16999999</v>
      </c>
    </row>
    <row r="619" spans="1:6" ht="30.75">
      <c r="A619" s="36" t="s">
        <v>82</v>
      </c>
      <c r="B619" s="37" t="s">
        <v>81</v>
      </c>
      <c r="C619" s="37"/>
      <c r="D619" s="12">
        <f>D620+D624+D627+D635+D645+D690+D692+D638+D622+D694</f>
        <v>168174633.76</v>
      </c>
      <c r="E619" s="12">
        <f>E620+E624+E627+E635+E645+E690+E692+E638+E622+E694</f>
        <v>113387066.59</v>
      </c>
      <c r="F619" s="27">
        <f t="shared" si="11"/>
        <v>54787567.16999999</v>
      </c>
    </row>
    <row r="620" spans="1:6" ht="15">
      <c r="A620" s="88" t="s">
        <v>83</v>
      </c>
      <c r="B620" s="86" t="s">
        <v>20</v>
      </c>
      <c r="C620" s="1"/>
      <c r="D620" s="4">
        <f>D621</f>
        <v>140000</v>
      </c>
      <c r="E620" s="4">
        <f>E621</f>
        <v>0</v>
      </c>
      <c r="F620" s="27">
        <f t="shared" si="11"/>
        <v>140000</v>
      </c>
    </row>
    <row r="621" spans="1:6" ht="30.75">
      <c r="A621" s="88"/>
      <c r="B621" s="86"/>
      <c r="C621" s="6" t="s">
        <v>731</v>
      </c>
      <c r="D621" s="5">
        <v>140000</v>
      </c>
      <c r="E621" s="5"/>
      <c r="F621" s="27">
        <f t="shared" si="11"/>
        <v>140000</v>
      </c>
    </row>
    <row r="622" spans="1:6" ht="15">
      <c r="A622" s="87" t="s">
        <v>84</v>
      </c>
      <c r="B622" s="75" t="s">
        <v>69</v>
      </c>
      <c r="C622" s="1"/>
      <c r="D622" s="4">
        <f>D623</f>
        <v>1440000</v>
      </c>
      <c r="E622" s="4">
        <f>E623</f>
        <v>9179.6</v>
      </c>
      <c r="F622" s="27">
        <f t="shared" si="11"/>
        <v>1430820.4</v>
      </c>
    </row>
    <row r="623" spans="1:6" ht="46.5">
      <c r="A623" s="87"/>
      <c r="B623" s="75"/>
      <c r="C623" s="1" t="s">
        <v>529</v>
      </c>
      <c r="D623" s="2">
        <v>1440000</v>
      </c>
      <c r="E623" s="5">
        <f>9179.6</f>
        <v>9179.6</v>
      </c>
      <c r="F623" s="27">
        <f t="shared" si="11"/>
        <v>1430820.4</v>
      </c>
    </row>
    <row r="624" spans="1:6" ht="15">
      <c r="A624" s="87" t="s">
        <v>85</v>
      </c>
      <c r="B624" s="75" t="s">
        <v>38</v>
      </c>
      <c r="C624" s="1"/>
      <c r="D624" s="4">
        <f>D625+D626</f>
        <v>1651409</v>
      </c>
      <c r="E624" s="4">
        <f>E625+E626</f>
        <v>907031.33</v>
      </c>
      <c r="F624" s="27">
        <f t="shared" si="11"/>
        <v>744377.67</v>
      </c>
    </row>
    <row r="625" spans="1:6" ht="30.75">
      <c r="A625" s="87"/>
      <c r="B625" s="75"/>
      <c r="C625" s="10" t="s">
        <v>429</v>
      </c>
      <c r="D625" s="5">
        <f>836532-98410-200000</f>
        <v>538122</v>
      </c>
      <c r="E625" s="5">
        <f>312412.8+179552.4+15066.13</f>
        <v>507031.32999999996</v>
      </c>
      <c r="F625" s="27">
        <f t="shared" si="11"/>
        <v>31090.670000000042</v>
      </c>
    </row>
    <row r="626" spans="1:6" ht="15">
      <c r="A626" s="87"/>
      <c r="B626" s="75"/>
      <c r="C626" s="6" t="s">
        <v>430</v>
      </c>
      <c r="D626" s="5">
        <f>1113000+287</f>
        <v>1113287</v>
      </c>
      <c r="E626" s="5">
        <f>200000+200000</f>
        <v>400000</v>
      </c>
      <c r="F626" s="27">
        <f t="shared" si="11"/>
        <v>713287</v>
      </c>
    </row>
    <row r="627" spans="1:6" ht="15">
      <c r="A627" s="74" t="s">
        <v>86</v>
      </c>
      <c r="B627" s="82" t="s">
        <v>42</v>
      </c>
      <c r="C627" s="1"/>
      <c r="D627" s="4">
        <f>SUM(D628:D634)</f>
        <v>3840784.35</v>
      </c>
      <c r="E627" s="4">
        <f>SUM(E628:E634)</f>
        <v>1815042.0300000003</v>
      </c>
      <c r="F627" s="27">
        <f t="shared" si="11"/>
        <v>2025742.3199999998</v>
      </c>
    </row>
    <row r="628" spans="1:6" ht="30.75">
      <c r="A628" s="74"/>
      <c r="B628" s="82"/>
      <c r="C628" s="10" t="s">
        <v>640</v>
      </c>
      <c r="D628" s="5">
        <f>500000+35000</f>
        <v>535000</v>
      </c>
      <c r="E628" s="5">
        <f>35921-630+367456</f>
        <v>402747</v>
      </c>
      <c r="F628" s="27">
        <f t="shared" si="11"/>
        <v>132253</v>
      </c>
    </row>
    <row r="629" spans="1:6" ht="30.75">
      <c r="A629" s="74"/>
      <c r="B629" s="82"/>
      <c r="C629" s="10" t="s">
        <v>509</v>
      </c>
      <c r="D629" s="5">
        <f>1325000-1317620+4410</f>
        <v>11790</v>
      </c>
      <c r="E629" s="5">
        <f>7380+4403</f>
        <v>11783</v>
      </c>
      <c r="F629" s="27">
        <f t="shared" si="11"/>
        <v>7</v>
      </c>
    </row>
    <row r="630" spans="1:6" ht="30.75">
      <c r="A630" s="74"/>
      <c r="B630" s="82"/>
      <c r="C630" s="8" t="s">
        <v>431</v>
      </c>
      <c r="D630" s="2">
        <v>227939.12</v>
      </c>
      <c r="E630" s="5">
        <f>188991+15113+5602.14</f>
        <v>209706.14</v>
      </c>
      <c r="F630" s="27">
        <f t="shared" si="11"/>
        <v>18232.97999999998</v>
      </c>
    </row>
    <row r="631" spans="1:6" ht="30.75">
      <c r="A631" s="74"/>
      <c r="B631" s="82"/>
      <c r="C631" s="10" t="s">
        <v>470</v>
      </c>
      <c r="D631" s="5">
        <f>1617191-217191</f>
        <v>1400000</v>
      </c>
      <c r="E631" s="5">
        <f>29162.4+14475+94617.6</f>
        <v>138255</v>
      </c>
      <c r="F631" s="27">
        <f t="shared" si="11"/>
        <v>1261745</v>
      </c>
    </row>
    <row r="632" spans="1:6" ht="30.75">
      <c r="A632" s="74"/>
      <c r="B632" s="82"/>
      <c r="C632" s="10" t="s">
        <v>433</v>
      </c>
      <c r="D632" s="5">
        <v>201461</v>
      </c>
      <c r="E632" s="5">
        <f>25473</f>
        <v>25473</v>
      </c>
      <c r="F632" s="27">
        <f t="shared" si="11"/>
        <v>175988</v>
      </c>
    </row>
    <row r="633" spans="1:6" ht="30.75">
      <c r="A633" s="74"/>
      <c r="B633" s="82"/>
      <c r="C633" s="8" t="s">
        <v>432</v>
      </c>
      <c r="D633" s="2">
        <v>1033202.63</v>
      </c>
      <c r="E633" s="5">
        <f>246911.56+770811.04+280.13+9075.16</f>
        <v>1027077.8900000001</v>
      </c>
      <c r="F633" s="27">
        <f t="shared" si="11"/>
        <v>6124.739999999874</v>
      </c>
    </row>
    <row r="634" spans="1:6" ht="46.5">
      <c r="A634" s="74"/>
      <c r="B634" s="82"/>
      <c r="C634" s="8" t="s">
        <v>765</v>
      </c>
      <c r="D634" s="2">
        <v>431391.6</v>
      </c>
      <c r="E634" s="5"/>
      <c r="F634" s="27">
        <f t="shared" si="11"/>
        <v>431391.6</v>
      </c>
    </row>
    <row r="635" spans="1:6" ht="15" customHeight="1">
      <c r="A635" s="71" t="s">
        <v>87</v>
      </c>
      <c r="B635" s="76" t="s">
        <v>88</v>
      </c>
      <c r="C635" s="1"/>
      <c r="D635" s="4">
        <f>SUM(D636:D637)</f>
        <v>180000</v>
      </c>
      <c r="E635" s="4">
        <f>SUM(E636:E637)</f>
        <v>80000</v>
      </c>
      <c r="F635" s="27">
        <f t="shared" si="11"/>
        <v>100000</v>
      </c>
    </row>
    <row r="636" spans="1:6" ht="15">
      <c r="A636" s="72"/>
      <c r="B636" s="77"/>
      <c r="C636" s="10" t="s">
        <v>615</v>
      </c>
      <c r="D636" s="5">
        <v>80000</v>
      </c>
      <c r="E636" s="5">
        <f>80000</f>
        <v>80000</v>
      </c>
      <c r="F636" s="27">
        <f t="shared" si="11"/>
        <v>0</v>
      </c>
    </row>
    <row r="637" spans="1:6" ht="62.25">
      <c r="A637" s="73"/>
      <c r="B637" s="78"/>
      <c r="C637" s="10" t="s">
        <v>766</v>
      </c>
      <c r="D637" s="5">
        <v>100000</v>
      </c>
      <c r="E637" s="5"/>
      <c r="F637" s="27">
        <f t="shared" si="11"/>
        <v>100000</v>
      </c>
    </row>
    <row r="638" spans="1:6" ht="15">
      <c r="A638" s="85" t="s">
        <v>89</v>
      </c>
      <c r="B638" s="75" t="s">
        <v>90</v>
      </c>
      <c r="C638" s="1"/>
      <c r="D638" s="4">
        <f>SUM(D639:D644)</f>
        <v>6211995.4</v>
      </c>
      <c r="E638" s="4">
        <f>SUM(E639:E644)</f>
        <v>1756030.73</v>
      </c>
      <c r="F638" s="27">
        <f t="shared" si="11"/>
        <v>4455964.67</v>
      </c>
    </row>
    <row r="639" spans="1:6" ht="62.25">
      <c r="A639" s="85"/>
      <c r="B639" s="75"/>
      <c r="C639" s="1" t="s">
        <v>549</v>
      </c>
      <c r="D639" s="2">
        <v>96000</v>
      </c>
      <c r="E639" s="5">
        <f>96000</f>
        <v>96000</v>
      </c>
      <c r="F639" s="27">
        <f aca="true" t="shared" si="12" ref="F639:F697">D639-E639</f>
        <v>0</v>
      </c>
    </row>
    <row r="640" spans="1:6" ht="46.5">
      <c r="A640" s="85"/>
      <c r="B640" s="75"/>
      <c r="C640" s="10" t="s">
        <v>434</v>
      </c>
      <c r="D640" s="2">
        <v>809000</v>
      </c>
      <c r="E640" s="5">
        <f>290000+220000+250000</f>
        <v>760000</v>
      </c>
      <c r="F640" s="27">
        <f t="shared" si="12"/>
        <v>49000</v>
      </c>
    </row>
    <row r="641" spans="1:6" ht="30.75">
      <c r="A641" s="85"/>
      <c r="B641" s="75"/>
      <c r="C641" s="10" t="s">
        <v>772</v>
      </c>
      <c r="D641" s="2">
        <v>1600000</v>
      </c>
      <c r="E641" s="5"/>
      <c r="F641" s="27">
        <f t="shared" si="12"/>
        <v>1600000</v>
      </c>
    </row>
    <row r="642" spans="1:6" ht="46.5">
      <c r="A642" s="85"/>
      <c r="B642" s="75"/>
      <c r="C642" s="10" t="s">
        <v>435</v>
      </c>
      <c r="D642" s="2">
        <v>659800</v>
      </c>
      <c r="E642" s="5"/>
      <c r="F642" s="27">
        <f t="shared" si="12"/>
        <v>659800</v>
      </c>
    </row>
    <row r="643" spans="1:6" ht="46.5">
      <c r="A643" s="85"/>
      <c r="B643" s="75"/>
      <c r="C643" s="19" t="s">
        <v>437</v>
      </c>
      <c r="D643" s="2">
        <v>2000000</v>
      </c>
      <c r="E643" s="5"/>
      <c r="F643" s="27">
        <f t="shared" si="12"/>
        <v>2000000</v>
      </c>
    </row>
    <row r="644" spans="1:6" ht="30.75">
      <c r="A644" s="85"/>
      <c r="B644" s="75"/>
      <c r="C644" s="19" t="s">
        <v>436</v>
      </c>
      <c r="D644" s="2">
        <v>1047195.4</v>
      </c>
      <c r="E644" s="5">
        <f>921238-192704.8+171497.53</f>
        <v>900030.73</v>
      </c>
      <c r="F644" s="27">
        <f t="shared" si="12"/>
        <v>147164.67000000004</v>
      </c>
    </row>
    <row r="645" spans="1:6" ht="15">
      <c r="A645" s="85" t="s">
        <v>91</v>
      </c>
      <c r="B645" s="75" t="s">
        <v>72</v>
      </c>
      <c r="C645" s="1"/>
      <c r="D645" s="4">
        <f>SUM(D646:D689)</f>
        <v>146311445.01</v>
      </c>
      <c r="E645" s="4">
        <f>SUM(E646:E689)</f>
        <v>107157800.83000001</v>
      </c>
      <c r="F645" s="27">
        <f t="shared" si="12"/>
        <v>39153644.17999998</v>
      </c>
    </row>
    <row r="646" spans="1:6" ht="30.75">
      <c r="A646" s="85"/>
      <c r="B646" s="75"/>
      <c r="C646" s="8" t="s">
        <v>458</v>
      </c>
      <c r="D646" s="5">
        <f>1400000+200000</f>
        <v>1600000</v>
      </c>
      <c r="E646" s="5">
        <f>207831.83+11466.8+652549.99</f>
        <v>871848.62</v>
      </c>
      <c r="F646" s="27">
        <f t="shared" si="12"/>
        <v>728151.38</v>
      </c>
    </row>
    <row r="647" spans="1:6" ht="30.75">
      <c r="A647" s="85"/>
      <c r="B647" s="75"/>
      <c r="C647" s="8" t="s">
        <v>506</v>
      </c>
      <c r="D647" s="5">
        <v>1450000</v>
      </c>
      <c r="E647" s="5">
        <f>46900+15776+1180588</f>
        <v>1243264</v>
      </c>
      <c r="F647" s="27">
        <f t="shared" si="12"/>
        <v>206736</v>
      </c>
    </row>
    <row r="648" spans="1:6" ht="30.75">
      <c r="A648" s="85"/>
      <c r="B648" s="75"/>
      <c r="C648" s="8" t="s">
        <v>457</v>
      </c>
      <c r="D648" s="5">
        <f>843928-140000</f>
        <v>703928</v>
      </c>
      <c r="E648" s="5">
        <f>9178.47+69700.33+210112.14</f>
        <v>288990.94</v>
      </c>
      <c r="F648" s="27">
        <f t="shared" si="12"/>
        <v>414937.06</v>
      </c>
    </row>
    <row r="649" spans="1:6" ht="46.5">
      <c r="A649" s="85"/>
      <c r="B649" s="75"/>
      <c r="C649" s="6" t="s">
        <v>644</v>
      </c>
      <c r="D649" s="5">
        <f>1300000+59000+41000</f>
        <v>1400000</v>
      </c>
      <c r="E649" s="5">
        <f>70000+15746</f>
        <v>85746</v>
      </c>
      <c r="F649" s="27">
        <f t="shared" si="12"/>
        <v>1314254</v>
      </c>
    </row>
    <row r="650" spans="1:6" ht="30.75">
      <c r="A650" s="85"/>
      <c r="B650" s="75"/>
      <c r="C650" s="8" t="s">
        <v>471</v>
      </c>
      <c r="D650" s="5">
        <f>1450000-90000</f>
        <v>1360000</v>
      </c>
      <c r="E650" s="5">
        <f>46900+15219</f>
        <v>62119</v>
      </c>
      <c r="F650" s="27">
        <f t="shared" si="12"/>
        <v>1297881</v>
      </c>
    </row>
    <row r="651" spans="1:6" ht="30.75">
      <c r="A651" s="85"/>
      <c r="B651" s="75"/>
      <c r="C651" s="10" t="s">
        <v>526</v>
      </c>
      <c r="D651" s="5">
        <v>1450000</v>
      </c>
      <c r="E651" s="5">
        <f>71895+6457</f>
        <v>78352</v>
      </c>
      <c r="F651" s="27">
        <f t="shared" si="12"/>
        <v>1371648</v>
      </c>
    </row>
    <row r="652" spans="1:6" ht="30.75">
      <c r="A652" s="85"/>
      <c r="B652" s="75"/>
      <c r="C652" s="8" t="s">
        <v>507</v>
      </c>
      <c r="D652" s="5">
        <v>200000</v>
      </c>
      <c r="E652" s="5">
        <f>9355+15219+153269.68</f>
        <v>177843.68</v>
      </c>
      <c r="F652" s="27">
        <f t="shared" si="12"/>
        <v>22156.320000000007</v>
      </c>
    </row>
    <row r="653" spans="1:6" ht="30.75">
      <c r="A653" s="85"/>
      <c r="B653" s="75"/>
      <c r="C653" s="6" t="s">
        <v>508</v>
      </c>
      <c r="D653" s="5">
        <v>1400000</v>
      </c>
      <c r="E653" s="5">
        <f>60885+15425</f>
        <v>76310</v>
      </c>
      <c r="F653" s="27">
        <f t="shared" si="12"/>
        <v>1323690</v>
      </c>
    </row>
    <row r="654" spans="1:6" ht="30.75">
      <c r="A654" s="85"/>
      <c r="B654" s="75"/>
      <c r="C654" s="8" t="s">
        <v>456</v>
      </c>
      <c r="D654" s="5">
        <v>838910</v>
      </c>
      <c r="E654" s="5">
        <f>299000+11747.5+303291.59</f>
        <v>614039.0900000001</v>
      </c>
      <c r="F654" s="27">
        <f t="shared" si="12"/>
        <v>224870.90999999992</v>
      </c>
    </row>
    <row r="655" spans="1:6" ht="30.75">
      <c r="A655" s="85"/>
      <c r="B655" s="75"/>
      <c r="C655" s="6" t="s">
        <v>461</v>
      </c>
      <c r="D655" s="5">
        <v>18531</v>
      </c>
      <c r="E655" s="5"/>
      <c r="F655" s="27">
        <f t="shared" si="12"/>
        <v>18531</v>
      </c>
    </row>
    <row r="656" spans="1:6" ht="30.75">
      <c r="A656" s="85"/>
      <c r="B656" s="75"/>
      <c r="C656" s="8" t="s">
        <v>459</v>
      </c>
      <c r="D656" s="5">
        <v>225374.49</v>
      </c>
      <c r="E656" s="5"/>
      <c r="F656" s="27">
        <f t="shared" si="12"/>
        <v>225374.49</v>
      </c>
    </row>
    <row r="657" spans="1:6" ht="30.75">
      <c r="A657" s="85"/>
      <c r="B657" s="75"/>
      <c r="C657" s="8" t="s">
        <v>460</v>
      </c>
      <c r="D657" s="5">
        <f>1493486.05+4000000</f>
        <v>5493486.05</v>
      </c>
      <c r="E657" s="5">
        <f>358785.83+44621.69+658538.27+7400.77+240000-10008.48+351796.53+532022.55+530142.23+600000-95490.88+882607</f>
        <v>4100415.5100000002</v>
      </c>
      <c r="F657" s="27">
        <f t="shared" si="12"/>
        <v>1393070.5399999996</v>
      </c>
    </row>
    <row r="658" spans="1:6" ht="30.75">
      <c r="A658" s="85"/>
      <c r="B658" s="75"/>
      <c r="C658" s="19" t="s">
        <v>462</v>
      </c>
      <c r="D658" s="5">
        <v>8900000</v>
      </c>
      <c r="E658" s="5">
        <f>1136331.6+29810.35+2524840.8+11723.42</f>
        <v>3702706.17</v>
      </c>
      <c r="F658" s="27">
        <f t="shared" si="12"/>
        <v>5197293.83</v>
      </c>
    </row>
    <row r="659" spans="1:6" ht="30.75">
      <c r="A659" s="85"/>
      <c r="B659" s="75"/>
      <c r="C659" s="10" t="s">
        <v>527</v>
      </c>
      <c r="D659" s="5">
        <v>1832328.6</v>
      </c>
      <c r="E659" s="5">
        <f>13476.43+435820.86+5511.76+996045.15</f>
        <v>1450854.2</v>
      </c>
      <c r="F659" s="27">
        <f t="shared" si="12"/>
        <v>381474.40000000014</v>
      </c>
    </row>
    <row r="660" spans="1:6" ht="30.75">
      <c r="A660" s="85"/>
      <c r="B660" s="75"/>
      <c r="C660" s="19" t="s">
        <v>463</v>
      </c>
      <c r="D660" s="5">
        <f>30000000-4226093.36+5000000+8000000</f>
        <v>38773906.64</v>
      </c>
      <c r="E660" s="5">
        <f>4995872.38+14120877.63+42574.94+5415057.81+4650568.13+38867.72+1062754.42+7257379.73+1056369.48</f>
        <v>38640322.24</v>
      </c>
      <c r="F660" s="27">
        <f t="shared" si="12"/>
        <v>133584.3999999985</v>
      </c>
    </row>
    <row r="661" spans="1:6" ht="30.75">
      <c r="A661" s="85"/>
      <c r="B661" s="75"/>
      <c r="C661" s="10" t="s">
        <v>525</v>
      </c>
      <c r="D661" s="5">
        <v>900000</v>
      </c>
      <c r="E661" s="5">
        <f>81861</f>
        <v>81861</v>
      </c>
      <c r="F661" s="27">
        <f t="shared" si="12"/>
        <v>818139</v>
      </c>
    </row>
    <row r="662" spans="1:6" ht="30.75">
      <c r="A662" s="85"/>
      <c r="B662" s="75"/>
      <c r="C662" s="19" t="s">
        <v>642</v>
      </c>
      <c r="D662" s="5">
        <v>4415679.03</v>
      </c>
      <c r="E662" s="5">
        <f>2140829.85+201487.57+516406.8</f>
        <v>2858724.2199999997</v>
      </c>
      <c r="F662" s="27">
        <f t="shared" si="12"/>
        <v>1556954.8100000005</v>
      </c>
    </row>
    <row r="663" spans="1:6" ht="30.75">
      <c r="A663" s="85"/>
      <c r="B663" s="75"/>
      <c r="C663" s="19" t="s">
        <v>454</v>
      </c>
      <c r="D663" s="5">
        <f>50000+90148</f>
        <v>140148</v>
      </c>
      <c r="E663" s="5">
        <f>25908</f>
        <v>25908</v>
      </c>
      <c r="F663" s="27">
        <f t="shared" si="12"/>
        <v>114240</v>
      </c>
    </row>
    <row r="664" spans="1:6" ht="30.75">
      <c r="A664" s="85"/>
      <c r="B664" s="75"/>
      <c r="C664" s="19" t="s">
        <v>455</v>
      </c>
      <c r="D664" s="5">
        <v>28662</v>
      </c>
      <c r="E664" s="5"/>
      <c r="F664" s="27">
        <f t="shared" si="12"/>
        <v>28662</v>
      </c>
    </row>
    <row r="665" spans="1:6" ht="30.75">
      <c r="A665" s="85"/>
      <c r="B665" s="75"/>
      <c r="C665" s="6" t="s">
        <v>453</v>
      </c>
      <c r="D665" s="5">
        <v>587032</v>
      </c>
      <c r="E665" s="5">
        <f>33642+479478.21</f>
        <v>513120.21</v>
      </c>
      <c r="F665" s="27">
        <f t="shared" si="12"/>
        <v>73911.78999999998</v>
      </c>
    </row>
    <row r="666" spans="1:6" ht="30.75">
      <c r="A666" s="85"/>
      <c r="B666" s="75"/>
      <c r="C666" s="6" t="s">
        <v>616</v>
      </c>
      <c r="D666" s="5">
        <v>500000</v>
      </c>
      <c r="E666" s="5">
        <f>38663</f>
        <v>38663</v>
      </c>
      <c r="F666" s="27">
        <f t="shared" si="12"/>
        <v>461337</v>
      </c>
    </row>
    <row r="667" spans="1:6" ht="30.75">
      <c r="A667" s="85"/>
      <c r="B667" s="75"/>
      <c r="C667" s="19" t="s">
        <v>474</v>
      </c>
      <c r="D667" s="5">
        <v>1241860</v>
      </c>
      <c r="E667" s="5"/>
      <c r="F667" s="27">
        <f t="shared" si="12"/>
        <v>1241860</v>
      </c>
    </row>
    <row r="668" spans="1:6" ht="30.75">
      <c r="A668" s="85"/>
      <c r="B668" s="75"/>
      <c r="C668" s="19" t="s">
        <v>475</v>
      </c>
      <c r="D668" s="5">
        <f>1439770-50000</f>
        <v>1389770</v>
      </c>
      <c r="E668" s="5">
        <f>172481.21+2130.32</f>
        <v>174611.53</v>
      </c>
      <c r="F668" s="27">
        <f t="shared" si="12"/>
        <v>1215158.47</v>
      </c>
    </row>
    <row r="669" spans="1:6" ht="30.75">
      <c r="A669" s="85"/>
      <c r="B669" s="75"/>
      <c r="C669" s="19" t="s">
        <v>446</v>
      </c>
      <c r="D669" s="5">
        <f>6015289.85-1500000</f>
        <v>4515289.85</v>
      </c>
      <c r="E669" s="5">
        <f>5520+4500000-44840.98</f>
        <v>4460679.02</v>
      </c>
      <c r="F669" s="27">
        <f t="shared" si="12"/>
        <v>54610.830000000075</v>
      </c>
    </row>
    <row r="670" spans="1:6" ht="30.75">
      <c r="A670" s="85"/>
      <c r="B670" s="75"/>
      <c r="C670" s="6" t="s">
        <v>438</v>
      </c>
      <c r="D670" s="5">
        <v>869890</v>
      </c>
      <c r="E670" s="5">
        <f>280000+278664</f>
        <v>558664</v>
      </c>
      <c r="F670" s="27">
        <f t="shared" si="12"/>
        <v>311226</v>
      </c>
    </row>
    <row r="671" spans="1:6" ht="30.75">
      <c r="A671" s="85"/>
      <c r="B671" s="75"/>
      <c r="C671" s="19" t="s">
        <v>447</v>
      </c>
      <c r="D671" s="5">
        <f>20000000-1000000+1500000</f>
        <v>20500000</v>
      </c>
      <c r="E671" s="5">
        <f>1601127.14+6022765.45+192403.44+3181569.78+5727000+1960283.93-3637.9</f>
        <v>18681511.840000004</v>
      </c>
      <c r="F671" s="27">
        <f t="shared" si="12"/>
        <v>1818488.1599999964</v>
      </c>
    </row>
    <row r="672" spans="1:6" ht="30.75">
      <c r="A672" s="85"/>
      <c r="B672" s="75"/>
      <c r="C672" s="10" t="s">
        <v>439</v>
      </c>
      <c r="D672" s="5">
        <v>1306865</v>
      </c>
      <c r="E672" s="5">
        <f>415300+359500</f>
        <v>774800</v>
      </c>
      <c r="F672" s="27">
        <f t="shared" si="12"/>
        <v>532065</v>
      </c>
    </row>
    <row r="673" spans="1:6" ht="30.75">
      <c r="A673" s="85"/>
      <c r="B673" s="75"/>
      <c r="C673" s="6" t="s">
        <v>440</v>
      </c>
      <c r="D673" s="5">
        <f>200000-200000+640346</f>
        <v>640346</v>
      </c>
      <c r="E673" s="5">
        <v>640345.15</v>
      </c>
      <c r="F673" s="27">
        <f t="shared" si="12"/>
        <v>0.8499999999767169</v>
      </c>
    </row>
    <row r="674" spans="1:6" ht="52.5" customHeight="1">
      <c r="A674" s="85"/>
      <c r="B674" s="75"/>
      <c r="C674" s="6" t="s">
        <v>643</v>
      </c>
      <c r="D674" s="5">
        <v>450000</v>
      </c>
      <c r="E674" s="5">
        <f>68945.55+49357.83</f>
        <v>118303.38</v>
      </c>
      <c r="F674" s="27">
        <f t="shared" si="12"/>
        <v>331696.62</v>
      </c>
    </row>
    <row r="675" spans="1:6" ht="30.75">
      <c r="A675" s="85"/>
      <c r="B675" s="75"/>
      <c r="C675" s="6" t="s">
        <v>441</v>
      </c>
      <c r="D675" s="5">
        <v>1047000</v>
      </c>
      <c r="E675" s="5">
        <f>71900+682000</f>
        <v>753900</v>
      </c>
      <c r="F675" s="27">
        <f t="shared" si="12"/>
        <v>293100</v>
      </c>
    </row>
    <row r="676" spans="1:6" ht="30.75">
      <c r="A676" s="85"/>
      <c r="B676" s="75"/>
      <c r="C676" s="19" t="s">
        <v>528</v>
      </c>
      <c r="D676" s="5">
        <f>6625000-5000000+7000000-1000000</f>
        <v>7625000</v>
      </c>
      <c r="E676" s="5">
        <f>514873.6</f>
        <v>514873.6</v>
      </c>
      <c r="F676" s="27">
        <f t="shared" si="12"/>
        <v>7110126.4</v>
      </c>
    </row>
    <row r="677" spans="1:6" ht="30.75">
      <c r="A677" s="85"/>
      <c r="B677" s="75"/>
      <c r="C677" s="19" t="s">
        <v>448</v>
      </c>
      <c r="D677" s="5">
        <v>653455</v>
      </c>
      <c r="E677" s="5">
        <f>400450+252951.44</f>
        <v>653401.44</v>
      </c>
      <c r="F677" s="27">
        <f t="shared" si="12"/>
        <v>53.56000000005588</v>
      </c>
    </row>
    <row r="678" spans="1:6" ht="15">
      <c r="A678" s="85"/>
      <c r="B678" s="75"/>
      <c r="C678" s="19" t="s">
        <v>449</v>
      </c>
      <c r="D678" s="5">
        <v>120000</v>
      </c>
      <c r="E678" s="5"/>
      <c r="F678" s="27">
        <f t="shared" si="12"/>
        <v>120000</v>
      </c>
    </row>
    <row r="679" spans="1:6" ht="30.75">
      <c r="A679" s="85"/>
      <c r="B679" s="75"/>
      <c r="C679" s="10" t="s">
        <v>551</v>
      </c>
      <c r="D679" s="5">
        <v>1098615</v>
      </c>
      <c r="E679" s="5">
        <f>612700</f>
        <v>612700</v>
      </c>
      <c r="F679" s="27">
        <f t="shared" si="12"/>
        <v>485915</v>
      </c>
    </row>
    <row r="680" spans="1:6" ht="30.75">
      <c r="A680" s="85"/>
      <c r="B680" s="75"/>
      <c r="C680" s="6" t="s">
        <v>442</v>
      </c>
      <c r="D680" s="5">
        <f>20000000-1000000</f>
        <v>19000000</v>
      </c>
      <c r="E680" s="5">
        <f>1654590+1400118+1512394.6+1210103.19+1202411.99+1117556.37+313899.6+2999007.6+4150701.56</f>
        <v>15560782.91</v>
      </c>
      <c r="F680" s="27">
        <f t="shared" si="12"/>
        <v>3439217.09</v>
      </c>
    </row>
    <row r="681" spans="1:6" ht="30.75">
      <c r="A681" s="85"/>
      <c r="B681" s="75"/>
      <c r="C681" s="6" t="s">
        <v>641</v>
      </c>
      <c r="D681" s="5">
        <f>1202852-90435-370000</f>
        <v>742417</v>
      </c>
      <c r="E681" s="5">
        <f>410945+115483</f>
        <v>526428</v>
      </c>
      <c r="F681" s="27">
        <f t="shared" si="12"/>
        <v>215989</v>
      </c>
    </row>
    <row r="682" spans="1:6" ht="46.5">
      <c r="A682" s="85"/>
      <c r="B682" s="75"/>
      <c r="C682" s="19" t="s">
        <v>450</v>
      </c>
      <c r="D682" s="5">
        <v>188517.54</v>
      </c>
      <c r="E682" s="5">
        <f>188517.54-38515</f>
        <v>150002.54</v>
      </c>
      <c r="F682" s="27">
        <f t="shared" si="12"/>
        <v>38515</v>
      </c>
    </row>
    <row r="683" spans="1:6" ht="46.5">
      <c r="A683" s="85"/>
      <c r="B683" s="75"/>
      <c r="C683" s="19" t="s">
        <v>451</v>
      </c>
      <c r="D683" s="5">
        <v>1334316.4</v>
      </c>
      <c r="E683" s="5">
        <v>1334316.4</v>
      </c>
      <c r="F683" s="27">
        <f t="shared" si="12"/>
        <v>0</v>
      </c>
    </row>
    <row r="684" spans="1:6" ht="48" customHeight="1">
      <c r="A684" s="85"/>
      <c r="B684" s="75"/>
      <c r="C684" s="19" t="s">
        <v>452</v>
      </c>
      <c r="D684" s="5">
        <v>119695.6</v>
      </c>
      <c r="E684" s="5"/>
      <c r="F684" s="27">
        <f t="shared" si="12"/>
        <v>119695.6</v>
      </c>
    </row>
    <row r="685" spans="1:6" ht="46.5">
      <c r="A685" s="85"/>
      <c r="B685" s="75"/>
      <c r="C685" s="6" t="s">
        <v>443</v>
      </c>
      <c r="D685" s="5">
        <f>4018084.68-2000000</f>
        <v>2018084.6800000002</v>
      </c>
      <c r="E685" s="5">
        <f>23838.87</f>
        <v>23838.87</v>
      </c>
      <c r="F685" s="27">
        <f t="shared" si="12"/>
        <v>1994245.81</v>
      </c>
    </row>
    <row r="686" spans="1:6" ht="46.5">
      <c r="A686" s="85"/>
      <c r="B686" s="75"/>
      <c r="C686" s="19" t="s">
        <v>444</v>
      </c>
      <c r="D686" s="5">
        <v>6572376.13</v>
      </c>
      <c r="E686" s="5">
        <v>6524474.27</v>
      </c>
      <c r="F686" s="27">
        <f t="shared" si="12"/>
        <v>47901.860000000335</v>
      </c>
    </row>
    <row r="687" spans="1:6" ht="46.5">
      <c r="A687" s="85"/>
      <c r="B687" s="75"/>
      <c r="C687" s="19" t="s">
        <v>445</v>
      </c>
      <c r="D687" s="5">
        <f>6777200-4630000</f>
        <v>2147200</v>
      </c>
      <c r="E687" s="5">
        <f>19496</f>
        <v>19496</v>
      </c>
      <c r="F687" s="27">
        <f t="shared" si="12"/>
        <v>2127704</v>
      </c>
    </row>
    <row r="688" spans="1:6" ht="15">
      <c r="A688" s="85"/>
      <c r="B688" s="75"/>
      <c r="C688" s="25" t="s">
        <v>465</v>
      </c>
      <c r="D688" s="5">
        <f>3000000-1000000-1940346</f>
        <v>59654</v>
      </c>
      <c r="E688" s="5"/>
      <c r="F688" s="27">
        <f t="shared" si="12"/>
        <v>59654</v>
      </c>
    </row>
    <row r="689" spans="1:6" ht="30.75">
      <c r="A689" s="85"/>
      <c r="B689" s="75"/>
      <c r="C689" s="8" t="s">
        <v>464</v>
      </c>
      <c r="D689" s="5">
        <v>453107</v>
      </c>
      <c r="E689" s="5">
        <f>163584</f>
        <v>163584</v>
      </c>
      <c r="F689" s="27">
        <f t="shared" si="12"/>
        <v>289523</v>
      </c>
    </row>
    <row r="690" spans="1:6" ht="15">
      <c r="A690" s="85" t="s">
        <v>92</v>
      </c>
      <c r="B690" s="86" t="s">
        <v>93</v>
      </c>
      <c r="C690" s="1"/>
      <c r="D690" s="4">
        <f>D691</f>
        <v>49000</v>
      </c>
      <c r="E690" s="4">
        <f>E691</f>
        <v>21500</v>
      </c>
      <c r="F690" s="27">
        <f t="shared" si="12"/>
        <v>27500</v>
      </c>
    </row>
    <row r="691" spans="1:6" ht="46.5">
      <c r="A691" s="85"/>
      <c r="B691" s="86"/>
      <c r="C691" s="10" t="s">
        <v>767</v>
      </c>
      <c r="D691" s="5">
        <f>50000-1000</f>
        <v>49000</v>
      </c>
      <c r="E691" s="5">
        <f>1600+2400+5000+2500+2500+7500</f>
        <v>21500</v>
      </c>
      <c r="F691" s="27">
        <f t="shared" si="12"/>
        <v>27500</v>
      </c>
    </row>
    <row r="692" spans="1:6" ht="15">
      <c r="A692" s="85" t="s">
        <v>94</v>
      </c>
      <c r="B692" s="75" t="s">
        <v>95</v>
      </c>
      <c r="C692" s="1"/>
      <c r="D692" s="4">
        <f>D693</f>
        <v>350000</v>
      </c>
      <c r="E692" s="4">
        <f>E693</f>
        <v>140482.07</v>
      </c>
      <c r="F692" s="27">
        <f t="shared" si="12"/>
        <v>209517.93</v>
      </c>
    </row>
    <row r="693" spans="1:6" ht="30.75">
      <c r="A693" s="85"/>
      <c r="B693" s="75"/>
      <c r="C693" s="6" t="s">
        <v>504</v>
      </c>
      <c r="D693" s="5">
        <v>350000</v>
      </c>
      <c r="E693" s="5">
        <f>70788.4+8421+8181.37+53091.3</f>
        <v>140482.07</v>
      </c>
      <c r="F693" s="27">
        <f t="shared" si="12"/>
        <v>209517.93</v>
      </c>
    </row>
    <row r="694" spans="1:6" ht="30.75">
      <c r="A694" s="34" t="s">
        <v>617</v>
      </c>
      <c r="B694" s="39" t="s">
        <v>607</v>
      </c>
      <c r="C694" s="6"/>
      <c r="D694" s="12">
        <f>D695</f>
        <v>8000000</v>
      </c>
      <c r="E694" s="12">
        <f>E695</f>
        <v>1500000</v>
      </c>
      <c r="F694" s="27">
        <f t="shared" si="12"/>
        <v>6500000</v>
      </c>
    </row>
    <row r="695" spans="1:6" ht="93">
      <c r="A695" s="34"/>
      <c r="B695" s="39"/>
      <c r="C695" s="6" t="s">
        <v>618</v>
      </c>
      <c r="D695" s="5">
        <v>8000000</v>
      </c>
      <c r="E695" s="2">
        <v>1500000</v>
      </c>
      <c r="F695" s="27">
        <f t="shared" si="12"/>
        <v>6500000</v>
      </c>
    </row>
    <row r="696" spans="1:6" ht="30.75">
      <c r="A696" s="34" t="s">
        <v>96</v>
      </c>
      <c r="B696" s="39" t="s">
        <v>97</v>
      </c>
      <c r="C696" s="6"/>
      <c r="D696" s="12">
        <f aca="true" t="shared" si="13" ref="D696:E698">D697</f>
        <v>3140879.31</v>
      </c>
      <c r="E696" s="12">
        <f t="shared" si="13"/>
        <v>0</v>
      </c>
      <c r="F696" s="27">
        <f t="shared" si="12"/>
        <v>3140879.31</v>
      </c>
    </row>
    <row r="697" spans="1:6" ht="30.75">
      <c r="A697" s="34" t="s">
        <v>98</v>
      </c>
      <c r="B697" s="39" t="s">
        <v>97</v>
      </c>
      <c r="C697" s="6"/>
      <c r="D697" s="12">
        <f t="shared" si="13"/>
        <v>3140879.31</v>
      </c>
      <c r="E697" s="12">
        <f t="shared" si="13"/>
        <v>0</v>
      </c>
      <c r="F697" s="27">
        <f t="shared" si="12"/>
        <v>3140879.31</v>
      </c>
    </row>
    <row r="698" spans="1:6" ht="35.25" customHeight="1">
      <c r="A698" s="85" t="s">
        <v>740</v>
      </c>
      <c r="B698" s="82" t="s">
        <v>620</v>
      </c>
      <c r="C698" s="6"/>
      <c r="D698" s="4">
        <f t="shared" si="13"/>
        <v>3140879.31</v>
      </c>
      <c r="E698" s="12">
        <f t="shared" si="13"/>
        <v>0</v>
      </c>
      <c r="F698" s="27">
        <f aca="true" t="shared" si="14" ref="F698:F730">D698-E698</f>
        <v>3140879.31</v>
      </c>
    </row>
    <row r="699" spans="1:6" ht="78">
      <c r="A699" s="85"/>
      <c r="B699" s="82"/>
      <c r="C699" s="6" t="s">
        <v>741</v>
      </c>
      <c r="D699" s="2">
        <v>3140879.31</v>
      </c>
      <c r="E699" s="5"/>
      <c r="F699" s="27">
        <f t="shared" si="14"/>
        <v>3140879.31</v>
      </c>
    </row>
    <row r="700" spans="1:6" s="51" customFormat="1" ht="30.75">
      <c r="A700" s="36" t="s">
        <v>99</v>
      </c>
      <c r="B700" s="37" t="s">
        <v>100</v>
      </c>
      <c r="C700" s="8"/>
      <c r="D700" s="18">
        <f>D701</f>
        <v>7189052.49</v>
      </c>
      <c r="E700" s="18">
        <f>E701</f>
        <v>2378570.95</v>
      </c>
      <c r="F700" s="27">
        <f t="shared" si="14"/>
        <v>4810481.54</v>
      </c>
    </row>
    <row r="701" spans="1:6" s="51" customFormat="1" ht="30.75">
      <c r="A701" s="36" t="s">
        <v>101</v>
      </c>
      <c r="B701" s="37" t="s">
        <v>100</v>
      </c>
      <c r="C701" s="8"/>
      <c r="D701" s="18">
        <f>D702+D711</f>
        <v>7189052.49</v>
      </c>
      <c r="E701" s="18">
        <f>E702+E711</f>
        <v>2378570.95</v>
      </c>
      <c r="F701" s="27">
        <f t="shared" si="14"/>
        <v>4810481.54</v>
      </c>
    </row>
    <row r="702" spans="1:6" s="51" customFormat="1" ht="15">
      <c r="A702" s="75">
        <v>2717330</v>
      </c>
      <c r="B702" s="75" t="s">
        <v>136</v>
      </c>
      <c r="C702" s="6"/>
      <c r="D702" s="12">
        <f>SUM(D703:D710)</f>
        <v>5022660.07</v>
      </c>
      <c r="E702" s="12">
        <f>SUM(E703:E710)</f>
        <v>707555.77</v>
      </c>
      <c r="F702" s="27">
        <f t="shared" si="14"/>
        <v>4315104.300000001</v>
      </c>
    </row>
    <row r="703" spans="1:6" s="51" customFormat="1" ht="30.75">
      <c r="A703" s="75"/>
      <c r="B703" s="75"/>
      <c r="C703" s="10" t="s">
        <v>550</v>
      </c>
      <c r="D703" s="5">
        <v>793769.07</v>
      </c>
      <c r="E703" s="5">
        <f>255200.73+200784.6+41094.58</f>
        <v>497079.91000000003</v>
      </c>
      <c r="F703" s="27">
        <f t="shared" si="14"/>
        <v>296689.1599999999</v>
      </c>
    </row>
    <row r="704" spans="1:6" s="51" customFormat="1" ht="46.5">
      <c r="A704" s="75"/>
      <c r="B704" s="75"/>
      <c r="C704" s="6" t="s">
        <v>126</v>
      </c>
      <c r="D704" s="5">
        <f>1200000+385262</f>
        <v>1585262</v>
      </c>
      <c r="E704" s="5">
        <f>74584.86</f>
        <v>74584.86</v>
      </c>
      <c r="F704" s="27">
        <f t="shared" si="14"/>
        <v>1510677.14</v>
      </c>
    </row>
    <row r="705" spans="1:6" s="51" customFormat="1" ht="46.5">
      <c r="A705" s="75"/>
      <c r="B705" s="75"/>
      <c r="C705" s="6" t="s">
        <v>768</v>
      </c>
      <c r="D705" s="5">
        <f>160000</f>
        <v>160000</v>
      </c>
      <c r="E705" s="5"/>
      <c r="F705" s="27">
        <f t="shared" si="14"/>
        <v>160000</v>
      </c>
    </row>
    <row r="706" spans="1:6" s="51" customFormat="1" ht="46.5">
      <c r="A706" s="75"/>
      <c r="B706" s="75"/>
      <c r="C706" s="6" t="s">
        <v>127</v>
      </c>
      <c r="D706" s="5">
        <f>1400000-385262</f>
        <v>1014738</v>
      </c>
      <c r="E706" s="5"/>
      <c r="F706" s="27">
        <f t="shared" si="14"/>
        <v>1014738</v>
      </c>
    </row>
    <row r="707" spans="1:6" s="51" customFormat="1" ht="30.75">
      <c r="A707" s="75"/>
      <c r="B707" s="75"/>
      <c r="C707" s="10" t="s">
        <v>668</v>
      </c>
      <c r="D707" s="5">
        <v>53163</v>
      </c>
      <c r="E707" s="5">
        <v>53163</v>
      </c>
      <c r="F707" s="27">
        <f t="shared" si="14"/>
        <v>0</v>
      </c>
    </row>
    <row r="708" spans="1:6" s="51" customFormat="1" ht="30.75">
      <c r="A708" s="75"/>
      <c r="B708" s="75"/>
      <c r="C708" s="10" t="s">
        <v>669</v>
      </c>
      <c r="D708" s="5">
        <f>1000000-970000</f>
        <v>30000</v>
      </c>
      <c r="E708" s="5"/>
      <c r="F708" s="27">
        <f t="shared" si="14"/>
        <v>30000</v>
      </c>
    </row>
    <row r="709" spans="1:6" s="51" customFormat="1" ht="30.75">
      <c r="A709" s="75"/>
      <c r="B709" s="75"/>
      <c r="C709" s="10" t="s">
        <v>739</v>
      </c>
      <c r="D709" s="5">
        <v>103000</v>
      </c>
      <c r="E709" s="5"/>
      <c r="F709" s="27">
        <f t="shared" si="14"/>
        <v>103000</v>
      </c>
    </row>
    <row r="710" spans="1:6" s="51" customFormat="1" ht="34.5" customHeight="1">
      <c r="A710" s="75"/>
      <c r="B710" s="75"/>
      <c r="C710" s="6" t="s">
        <v>128</v>
      </c>
      <c r="D710" s="5">
        <v>1282728</v>
      </c>
      <c r="E710" s="5">
        <f>82728</f>
        <v>82728</v>
      </c>
      <c r="F710" s="27">
        <f t="shared" si="14"/>
        <v>1200000</v>
      </c>
    </row>
    <row r="711" spans="1:6" s="51" customFormat="1" ht="15">
      <c r="A711" s="74" t="s">
        <v>102</v>
      </c>
      <c r="B711" s="82" t="s">
        <v>46</v>
      </c>
      <c r="C711" s="8"/>
      <c r="D711" s="4">
        <f>D712</f>
        <v>2166392.42</v>
      </c>
      <c r="E711" s="4">
        <f>E712</f>
        <v>1671015.1800000002</v>
      </c>
      <c r="F711" s="27">
        <f t="shared" si="14"/>
        <v>495377.23999999976</v>
      </c>
    </row>
    <row r="712" spans="1:6" s="51" customFormat="1" ht="15">
      <c r="A712" s="74"/>
      <c r="B712" s="82"/>
      <c r="C712" s="17" t="s">
        <v>103</v>
      </c>
      <c r="D712" s="4">
        <f>SUM(D713:D718)</f>
        <v>2166392.42</v>
      </c>
      <c r="E712" s="4">
        <f>SUM(E713:E718)</f>
        <v>1671015.1800000002</v>
      </c>
      <c r="F712" s="27">
        <f t="shared" si="14"/>
        <v>495377.23999999976</v>
      </c>
    </row>
    <row r="713" spans="1:6" s="51" customFormat="1" ht="46.5">
      <c r="A713" s="74"/>
      <c r="B713" s="82"/>
      <c r="C713" s="10" t="s">
        <v>129</v>
      </c>
      <c r="D713" s="5">
        <v>4100</v>
      </c>
      <c r="E713" s="5"/>
      <c r="F713" s="27">
        <f t="shared" si="14"/>
        <v>4100</v>
      </c>
    </row>
    <row r="714" spans="1:6" s="51" customFormat="1" ht="46.5">
      <c r="A714" s="74"/>
      <c r="B714" s="82"/>
      <c r="C714" s="10" t="s">
        <v>130</v>
      </c>
      <c r="D714" s="5">
        <v>1616881.92</v>
      </c>
      <c r="E714" s="5">
        <f>384823.2+499995.6+236449.2+11409.08+30098.31</f>
        <v>1162775.3900000001</v>
      </c>
      <c r="F714" s="27">
        <f t="shared" si="14"/>
        <v>454106.5299999998</v>
      </c>
    </row>
    <row r="715" spans="1:6" s="51" customFormat="1" ht="46.5">
      <c r="A715" s="74"/>
      <c r="B715" s="82"/>
      <c r="C715" s="10" t="s">
        <v>131</v>
      </c>
      <c r="D715" s="5">
        <v>384060</v>
      </c>
      <c r="E715" s="5">
        <f>188530+179500.68+2842.11</f>
        <v>370872.79</v>
      </c>
      <c r="F715" s="27">
        <f t="shared" si="14"/>
        <v>13187.210000000021</v>
      </c>
    </row>
    <row r="716" spans="1:6" s="51" customFormat="1" ht="30.75">
      <c r="A716" s="74"/>
      <c r="B716" s="82"/>
      <c r="C716" s="10" t="s">
        <v>472</v>
      </c>
      <c r="D716" s="5">
        <v>1350.5</v>
      </c>
      <c r="E716" s="5"/>
      <c r="F716" s="27">
        <f t="shared" si="14"/>
        <v>1350.5</v>
      </c>
    </row>
    <row r="717" spans="1:6" s="51" customFormat="1" ht="15">
      <c r="A717" s="74"/>
      <c r="B717" s="82"/>
      <c r="C717" s="10" t="s">
        <v>502</v>
      </c>
      <c r="D717" s="2">
        <f>1480000-1380000</f>
        <v>100000</v>
      </c>
      <c r="E717" s="5">
        <f>77367</f>
        <v>77367</v>
      </c>
      <c r="F717" s="27">
        <f t="shared" si="14"/>
        <v>22633</v>
      </c>
    </row>
    <row r="718" spans="1:6" s="51" customFormat="1" ht="30.75">
      <c r="A718" s="74"/>
      <c r="B718" s="82"/>
      <c r="C718" s="10" t="s">
        <v>132</v>
      </c>
      <c r="D718" s="5">
        <v>60000</v>
      </c>
      <c r="E718" s="5">
        <v>60000</v>
      </c>
      <c r="F718" s="27">
        <f t="shared" si="14"/>
        <v>0</v>
      </c>
    </row>
    <row r="719" spans="1:6" s="51" customFormat="1" ht="30.75">
      <c r="A719" s="38" t="s">
        <v>104</v>
      </c>
      <c r="B719" s="35" t="s">
        <v>105</v>
      </c>
      <c r="C719" s="8"/>
      <c r="D719" s="52">
        <f aca="true" t="shared" si="15" ref="D719:E721">D720</f>
        <v>654818</v>
      </c>
      <c r="E719" s="52">
        <f t="shared" si="15"/>
        <v>222015</v>
      </c>
      <c r="F719" s="27">
        <f t="shared" si="14"/>
        <v>432803</v>
      </c>
    </row>
    <row r="720" spans="1:6" ht="30.75">
      <c r="A720" s="38" t="s">
        <v>106</v>
      </c>
      <c r="B720" s="35" t="s">
        <v>105</v>
      </c>
      <c r="C720" s="8"/>
      <c r="D720" s="52">
        <f t="shared" si="15"/>
        <v>654818</v>
      </c>
      <c r="E720" s="52">
        <f t="shared" si="15"/>
        <v>222015</v>
      </c>
      <c r="F720" s="27">
        <f t="shared" si="14"/>
        <v>432803</v>
      </c>
    </row>
    <row r="721" spans="1:6" ht="15">
      <c r="A721" s="74" t="s">
        <v>107</v>
      </c>
      <c r="B721" s="82" t="s">
        <v>20</v>
      </c>
      <c r="C721" s="8"/>
      <c r="D721" s="4">
        <f t="shared" si="15"/>
        <v>654818</v>
      </c>
      <c r="E721" s="4">
        <f t="shared" si="15"/>
        <v>222015</v>
      </c>
      <c r="F721" s="27">
        <f t="shared" si="14"/>
        <v>432803</v>
      </c>
    </row>
    <row r="722" spans="1:6" ht="46.5">
      <c r="A722" s="74"/>
      <c r="B722" s="82"/>
      <c r="C722" s="8" t="s">
        <v>134</v>
      </c>
      <c r="D722" s="2">
        <f>852434-197616</f>
        <v>654818</v>
      </c>
      <c r="E722" s="5">
        <f>24600+197415</f>
        <v>222015</v>
      </c>
      <c r="F722" s="27">
        <f t="shared" si="14"/>
        <v>432803</v>
      </c>
    </row>
    <row r="723" spans="1:6" ht="15">
      <c r="A723" s="36" t="s">
        <v>15</v>
      </c>
      <c r="B723" s="97" t="s">
        <v>16</v>
      </c>
      <c r="C723" s="98"/>
      <c r="D723" s="4">
        <f>D724</f>
        <v>1070000</v>
      </c>
      <c r="E723" s="4">
        <f>E724</f>
        <v>1030000</v>
      </c>
      <c r="F723" s="27">
        <f t="shared" si="14"/>
        <v>40000</v>
      </c>
    </row>
    <row r="724" spans="1:6" ht="15">
      <c r="A724" s="36" t="s">
        <v>17</v>
      </c>
      <c r="B724" s="97" t="s">
        <v>16</v>
      </c>
      <c r="C724" s="98"/>
      <c r="D724" s="4">
        <f>D725+D728</f>
        <v>1070000</v>
      </c>
      <c r="E724" s="4">
        <f>E725+E728</f>
        <v>1030000</v>
      </c>
      <c r="F724" s="27">
        <f t="shared" si="14"/>
        <v>40000</v>
      </c>
    </row>
    <row r="725" spans="1:6" ht="15">
      <c r="A725" s="74" t="s">
        <v>19</v>
      </c>
      <c r="B725" s="82" t="s">
        <v>20</v>
      </c>
      <c r="C725" s="1"/>
      <c r="D725" s="4">
        <f>SUM(D726:D727)</f>
        <v>70000</v>
      </c>
      <c r="E725" s="4">
        <f>SUM(E726:E727)</f>
        <v>30000</v>
      </c>
      <c r="F725" s="27">
        <f t="shared" si="14"/>
        <v>40000</v>
      </c>
    </row>
    <row r="726" spans="1:6" ht="30.75">
      <c r="A726" s="74"/>
      <c r="B726" s="82"/>
      <c r="C726" s="1" t="s">
        <v>769</v>
      </c>
      <c r="D726" s="2">
        <f>40000</f>
        <v>40000</v>
      </c>
      <c r="E726" s="5"/>
      <c r="F726" s="27">
        <f t="shared" si="14"/>
        <v>40000</v>
      </c>
    </row>
    <row r="727" spans="1:6" ht="60" customHeight="1">
      <c r="A727" s="74"/>
      <c r="B727" s="82"/>
      <c r="C727" s="6" t="s">
        <v>133</v>
      </c>
      <c r="D727" s="5">
        <f>50000-20000</f>
        <v>30000</v>
      </c>
      <c r="E727" s="5">
        <f>30000</f>
        <v>30000</v>
      </c>
      <c r="F727" s="27">
        <f t="shared" si="14"/>
        <v>0</v>
      </c>
    </row>
    <row r="728" spans="1:6" ht="15">
      <c r="A728" s="71" t="s">
        <v>619</v>
      </c>
      <c r="B728" s="76" t="s">
        <v>620</v>
      </c>
      <c r="C728" s="6"/>
      <c r="D728" s="12">
        <f>D729</f>
        <v>1000000</v>
      </c>
      <c r="E728" s="12">
        <f>E729</f>
        <v>1000000</v>
      </c>
      <c r="F728" s="27">
        <f t="shared" si="14"/>
        <v>0</v>
      </c>
    </row>
    <row r="729" spans="1:6" ht="86.25" customHeight="1">
      <c r="A729" s="73"/>
      <c r="B729" s="78"/>
      <c r="C729" s="6" t="s">
        <v>621</v>
      </c>
      <c r="D729" s="5">
        <v>1000000</v>
      </c>
      <c r="E729" s="5">
        <v>1000000</v>
      </c>
      <c r="F729" s="27">
        <f t="shared" si="14"/>
        <v>0</v>
      </c>
    </row>
    <row r="730" spans="1:6" ht="17.25">
      <c r="A730" s="84" t="s">
        <v>12</v>
      </c>
      <c r="B730" s="84"/>
      <c r="C730" s="84"/>
      <c r="D730" s="53" t="e">
        <f>D723+D719+D700+D696+#REF!+D618+#REF!+D369+D365+D336+D284+D9+D5</f>
        <v>#REF!</v>
      </c>
      <c r="E730" s="53" t="e">
        <f>E723+E719+E700+E696+#REF!+E618+#REF!+E369+E365+E336+E284+E9+E5</f>
        <v>#REF!</v>
      </c>
      <c r="F730" s="27" t="e">
        <f t="shared" si="14"/>
        <v>#REF!</v>
      </c>
    </row>
    <row r="731" spans="1:4" ht="17.25">
      <c r="A731" s="55"/>
      <c r="B731" s="55"/>
      <c r="C731" s="55"/>
      <c r="D731" s="56"/>
    </row>
    <row r="732" spans="1:4" ht="17.25">
      <c r="A732" s="55"/>
      <c r="B732" s="55"/>
      <c r="C732" s="55"/>
      <c r="D732" s="56"/>
    </row>
    <row r="733" spans="1:4" ht="17.25" hidden="1">
      <c r="A733" s="55"/>
      <c r="B733" s="55"/>
      <c r="C733" s="54" t="s">
        <v>565</v>
      </c>
      <c r="D733" s="53">
        <v>483335124</v>
      </c>
    </row>
    <row r="734" spans="3:4" ht="17.25" hidden="1">
      <c r="C734" s="59" t="s">
        <v>567</v>
      </c>
      <c r="D734" s="53">
        <v>19175000</v>
      </c>
    </row>
    <row r="735" spans="1:4" s="62" customFormat="1" ht="17.25" customHeight="1" hidden="1">
      <c r="A735" s="60"/>
      <c r="B735" s="61"/>
      <c r="C735" s="59" t="s">
        <v>568</v>
      </c>
      <c r="D735" s="53">
        <v>30000000</v>
      </c>
    </row>
    <row r="736" ht="12.75" hidden="1"/>
    <row r="737" spans="3:4" ht="17.25" hidden="1">
      <c r="C737" s="59" t="s">
        <v>569</v>
      </c>
      <c r="D737" s="53">
        <f>83173+293822</f>
        <v>376995</v>
      </c>
    </row>
    <row r="738" ht="12.75" hidden="1"/>
    <row r="739" spans="3:4" ht="17.25" hidden="1">
      <c r="C739" s="54" t="s">
        <v>566</v>
      </c>
      <c r="D739" s="53" t="e">
        <f>D730-D733-D734-D735-D737</f>
        <v>#REF!</v>
      </c>
    </row>
  </sheetData>
  <sheetProtection/>
  <mergeCells count="124">
    <mergeCell ref="B723:C723"/>
    <mergeCell ref="B724:C724"/>
    <mergeCell ref="A26:A59"/>
    <mergeCell ref="A635:A637"/>
    <mergeCell ref="B635:B637"/>
    <mergeCell ref="B614:B615"/>
    <mergeCell ref="A7:A8"/>
    <mergeCell ref="B91:B236"/>
    <mergeCell ref="A238:A241"/>
    <mergeCell ref="A698:A699"/>
    <mergeCell ref="B698:B699"/>
    <mergeCell ref="A620:A621"/>
    <mergeCell ref="B620:B621"/>
    <mergeCell ref="B60:B66"/>
    <mergeCell ref="B80:B81"/>
    <mergeCell ref="B26:B59"/>
    <mergeCell ref="B247:B248"/>
    <mergeCell ref="A338:A339"/>
    <mergeCell ref="B7:B8"/>
    <mergeCell ref="A11:A25"/>
    <mergeCell ref="A247:A248"/>
    <mergeCell ref="B11:B25"/>
    <mergeCell ref="A60:A66"/>
    <mergeCell ref="B67:B72"/>
    <mergeCell ref="A73:A76"/>
    <mergeCell ref="B73:B76"/>
    <mergeCell ref="A67:A72"/>
    <mergeCell ref="B86:B90"/>
    <mergeCell ref="B238:B241"/>
    <mergeCell ref="A84:A85"/>
    <mergeCell ref="A82:A83"/>
    <mergeCell ref="B82:B83"/>
    <mergeCell ref="A80:A81"/>
    <mergeCell ref="A77:A79"/>
    <mergeCell ref="B77:B79"/>
    <mergeCell ref="A340:A341"/>
    <mergeCell ref="B340:B341"/>
    <mergeCell ref="B291:B335"/>
    <mergeCell ref="A291:A335"/>
    <mergeCell ref="A256:A280"/>
    <mergeCell ref="A242:A246"/>
    <mergeCell ref="B249:B255"/>
    <mergeCell ref="B242:B246"/>
    <mergeCell ref="A359:A361"/>
    <mergeCell ref="B359:B361"/>
    <mergeCell ref="A362:A364"/>
    <mergeCell ref="B362:B364"/>
    <mergeCell ref="B352:B356"/>
    <mergeCell ref="A357:A358"/>
    <mergeCell ref="B357:B358"/>
    <mergeCell ref="A352:A356"/>
    <mergeCell ref="A385:A442"/>
    <mergeCell ref="A371:A372"/>
    <mergeCell ref="B371:B372"/>
    <mergeCell ref="A373:A378"/>
    <mergeCell ref="B373:B378"/>
    <mergeCell ref="A367:A368"/>
    <mergeCell ref="B367:B368"/>
    <mergeCell ref="B385:B442"/>
    <mergeCell ref="B445:B446"/>
    <mergeCell ref="A447:A504"/>
    <mergeCell ref="B447:B504"/>
    <mergeCell ref="A445:A446"/>
    <mergeCell ref="A443:A444"/>
    <mergeCell ref="B443:B444"/>
    <mergeCell ref="A612:A613"/>
    <mergeCell ref="B612:B613"/>
    <mergeCell ref="A505:A608"/>
    <mergeCell ref="B505:B608"/>
    <mergeCell ref="A616:A617"/>
    <mergeCell ref="B616:B617"/>
    <mergeCell ref="A614:A615"/>
    <mergeCell ref="A627:A634"/>
    <mergeCell ref="B627:B634"/>
    <mergeCell ref="A624:A626"/>
    <mergeCell ref="B624:B626"/>
    <mergeCell ref="A622:A623"/>
    <mergeCell ref="B622:B623"/>
    <mergeCell ref="B690:B691"/>
    <mergeCell ref="B692:B693"/>
    <mergeCell ref="A638:A644"/>
    <mergeCell ref="B638:B644"/>
    <mergeCell ref="A645:A689"/>
    <mergeCell ref="B645:B689"/>
    <mergeCell ref="A725:A727"/>
    <mergeCell ref="B725:B727"/>
    <mergeCell ref="A1:D1"/>
    <mergeCell ref="A730:C730"/>
    <mergeCell ref="A692:A693"/>
    <mergeCell ref="B711:B718"/>
    <mergeCell ref="B721:B722"/>
    <mergeCell ref="A702:A710"/>
    <mergeCell ref="A721:A722"/>
    <mergeCell ref="A690:A691"/>
    <mergeCell ref="B84:B85"/>
    <mergeCell ref="A86:A90"/>
    <mergeCell ref="B728:B729"/>
    <mergeCell ref="A728:A729"/>
    <mergeCell ref="A281:A283"/>
    <mergeCell ref="B281:B283"/>
    <mergeCell ref="B342:B343"/>
    <mergeCell ref="A342:A343"/>
    <mergeCell ref="B702:B710"/>
    <mergeCell ref="A711:A718"/>
    <mergeCell ref="A379:A384"/>
    <mergeCell ref="B379:B384"/>
    <mergeCell ref="A91:A236"/>
    <mergeCell ref="A249:A255"/>
    <mergeCell ref="B344:B345"/>
    <mergeCell ref="A344:A345"/>
    <mergeCell ref="B286:B288"/>
    <mergeCell ref="B338:B339"/>
    <mergeCell ref="B256:B280"/>
    <mergeCell ref="A286:A288"/>
    <mergeCell ref="B289:B290"/>
    <mergeCell ref="A289:A290"/>
    <mergeCell ref="A350:A351"/>
    <mergeCell ref="B350:B351"/>
    <mergeCell ref="A348:A349"/>
    <mergeCell ref="B348:B349"/>
    <mergeCell ref="A346:A347"/>
    <mergeCell ref="B346:B347"/>
    <mergeCell ref="B336:C336"/>
    <mergeCell ref="B337:C337"/>
  </mergeCells>
  <printOptions/>
  <pageMargins left="0.35433070866141736" right="0.2755905511811024" top="0.31496062992125984" bottom="0.2755905511811024" header="0.15748031496062992" footer="0.5118110236220472"/>
  <pageSetup fitToHeight="25" horizontalDpi="600" verticalDpi="600" orientation="landscape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plan3</dc:creator>
  <cp:keywords/>
  <dc:description/>
  <cp:lastModifiedBy>fmg</cp:lastModifiedBy>
  <cp:lastPrinted>2020-10-28T07:36:23Z</cp:lastPrinted>
  <dcterms:created xsi:type="dcterms:W3CDTF">2017-12-26T08:57:14Z</dcterms:created>
  <dcterms:modified xsi:type="dcterms:W3CDTF">2020-11-02T07:34:19Z</dcterms:modified>
  <cp:category/>
  <cp:version/>
  <cp:contentType/>
  <cp:contentStatus/>
</cp:coreProperties>
</file>